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2-05 DI c. 23 - 27\_SOUPIS PRACI - pro DI 26 a 27\"/>
    </mc:Choice>
  </mc:AlternateContent>
  <xr:revisionPtr revIDLastSave="0" documentId="13_ncr:1_{9D06195C-D6B6-4F06-9287-1B2003358A18}" xr6:coauthVersionLast="47" xr6:coauthVersionMax="47" xr10:uidLastSave="{00000000-0000-0000-0000-000000000000}"/>
  <bookViews>
    <workbookView xWindow="225" yWindow="75" windowWidth="27510" windowHeight="17130" tabRatio="959"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1.c.01. VÝPIS DVEŘÍ" sheetId="83" r:id="rId11"/>
    <sheet name="D.1.4.1. ZTI" sheetId="42" r:id="rId12"/>
    <sheet name="D.1.4.2. ODBĚR. PLYN. ZAŘÍZ." sheetId="43" r:id="rId13"/>
    <sheet name="D.1.4.3. VZDUCHOTECHNIKA" sheetId="69" r:id="rId14"/>
    <sheet name="D.1.4.4. VYTÁPĚNÍ" sheetId="59" r:id="rId15"/>
    <sheet name="D.1.4.5. CHLAZENÍ" sheetId="55" r:id="rId16"/>
    <sheet name="D.1.4.7. SILNOPROUD" sheetId="57" r:id="rId17"/>
    <sheet name="D.1.4.7.1 FOTOVOLTAIKA" sheetId="58" r:id="rId18"/>
    <sheet name="REKAPITULACE" sheetId="70" r:id="rId19"/>
    <sheet name="D.1.4.8. EL. KOMUNIKACE" sheetId="73" r:id="rId20"/>
    <sheet name="D.1.4.8. EL. KOMUNIKACE-MEDICAL" sheetId="72" r:id="rId21"/>
    <sheet name="REKAPITULACE - SÚ" sheetId="31" r:id="rId22"/>
    <sheet name="D.1.4.10.1. SADOVÉ ÚPRAVY" sheetId="32" r:id="rId23"/>
    <sheet name="D.1.4.10.1. MOBILIÁŘ" sheetId="33" r:id="rId24"/>
    <sheet name="D.1.4.10.1. OPLOCENÍ" sheetId="34" r:id="rId25"/>
    <sheet name="D.1.4.10.2. ZP. PLOCHY A KOMUN." sheetId="30" r:id="rId26"/>
    <sheet name="REKAPITULACE - DA" sheetId="65" r:id="rId27"/>
    <sheet name="D.1.4.10.3. DROBNÁ ARCH. - SKL." sheetId="66" r:id="rId28"/>
    <sheet name="D.1.4.10.3. DROBNÁ ARCH. - ZÁZ." sheetId="67" r:id="rId29"/>
    <sheet name="D.1.4.10.3. DROBNÁ ARCH. - KOL." sheetId="68" r:id="rId30"/>
    <sheet name="D.2.1. PŘÍPOJKA VODOVODU" sheetId="29" r:id="rId31"/>
    <sheet name="D.2.1.1. AREÁLOVÝ VODOVOD" sheetId="28" r:id="rId32"/>
    <sheet name="D.2.2. PŘÍPOJKA KANALIZACE" sheetId="27" r:id="rId33"/>
    <sheet name="REKAPITULACE - AREÁL KAN" sheetId="21" r:id="rId34"/>
    <sheet name="D.2.3. AREÁL SPLAŠKOVÁ KANAL." sheetId="22" r:id="rId35"/>
    <sheet name="D.2.3. AREÁL DEŠŤOVÁ KANAL." sheetId="23" r:id="rId36"/>
    <sheet name="D.2.3. AKUMULAČNÍ NÁDRŽ" sheetId="24" r:id="rId37"/>
    <sheet name="D.2.3. ČERPACÍ STANICE" sheetId="25" r:id="rId38"/>
    <sheet name="D.2.3. VSAKOVACÍ NÁDRŽE" sheetId="26" r:id="rId39"/>
    <sheet name="D.2.4. PŘELOŽKA STL PLYNOVODU" sheetId="20" r:id="rId40"/>
    <sheet name="D.2.5. PŘÍPOJKA NN" sheetId="19" r:id="rId41"/>
    <sheet name="D.2.6. PŘÍPOJKA EL. KOMUNIKACE" sheetId="18" r:id="rId42"/>
    <sheet name="D.2.7. AREÁL OSVĚTLENÍ - TR. A1" sheetId="17" r:id="rId43"/>
    <sheet name="REKAPITULACE - AREÁL NN" sheetId="10" r:id="rId44"/>
    <sheet name="D.2.8. AREÁL VEDENÍ NN-TR. NN1 " sheetId="11" r:id="rId45"/>
    <sheet name="D.2.8. AREÁL VEDENÍ NN-TR. NN2" sheetId="12" r:id="rId46"/>
    <sheet name="D.2.8. AREÁL VEDENÍ NN-TR. NN3" sheetId="13" r:id="rId47"/>
    <sheet name="D.2.8. AREÁL VEDENÍ NN-TR. NN4" sheetId="14" r:id="rId48"/>
    <sheet name="D.2.8. AREÁL VEDENÍ NN-TR.  NN5" sheetId="15" r:id="rId49"/>
    <sheet name="D.2.8. AREÁL VEDENÍ NN-TR.  NN6" sheetId="16" r:id="rId50"/>
    <sheet name="KOLEJNICOVÝ SYSTÉM" sheetId="9"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____________obl11" localSheetId="25">#REF!</definedName>
    <definedName name="_____________________obl11" localSheetId="13">#REF!</definedName>
    <definedName name="_____________________obl11" localSheetId="19">#REF!</definedName>
    <definedName name="_____________________obl11" localSheetId="30">#REF!</definedName>
    <definedName name="_____________________obl11" localSheetId="18">#REF!</definedName>
    <definedName name="_____________________obl11" localSheetId="26">#REF!</definedName>
    <definedName name="_____________________obl11">#REF!</definedName>
    <definedName name="_____________________obl12" localSheetId="25">#REF!</definedName>
    <definedName name="_____________________obl12" localSheetId="13">#REF!</definedName>
    <definedName name="_____________________obl12" localSheetId="19">#REF!</definedName>
    <definedName name="_____________________obl12" localSheetId="30">#REF!</definedName>
    <definedName name="_____________________obl12" localSheetId="18">#REF!</definedName>
    <definedName name="_____________________obl12" localSheetId="26">#REF!</definedName>
    <definedName name="_____________________obl12">#REF!</definedName>
    <definedName name="_____________________obl13" localSheetId="25">#REF!</definedName>
    <definedName name="_____________________obl13" localSheetId="13">#REF!</definedName>
    <definedName name="_____________________obl13" localSheetId="19">#REF!</definedName>
    <definedName name="_____________________obl13" localSheetId="30">#REF!</definedName>
    <definedName name="_____________________obl13" localSheetId="18">#REF!</definedName>
    <definedName name="_____________________obl13" localSheetId="26">#REF!</definedName>
    <definedName name="_____________________obl13">#REF!</definedName>
    <definedName name="_____________________obl14" localSheetId="25">#REF!</definedName>
    <definedName name="_____________________obl14" localSheetId="19">#REF!</definedName>
    <definedName name="_____________________obl14" localSheetId="30">#REF!</definedName>
    <definedName name="_____________________obl14">#REF!</definedName>
    <definedName name="_____________________obl15" localSheetId="25">#REF!</definedName>
    <definedName name="_____________________obl15" localSheetId="19">#REF!</definedName>
    <definedName name="_____________________obl15" localSheetId="30">#REF!</definedName>
    <definedName name="_____________________obl15">#REF!</definedName>
    <definedName name="_____________________obl16" localSheetId="25">#REF!</definedName>
    <definedName name="_____________________obl16" localSheetId="19">#REF!</definedName>
    <definedName name="_____________________obl16" localSheetId="30">#REF!</definedName>
    <definedName name="_____________________obl16">#REF!</definedName>
    <definedName name="_____________________obl17" localSheetId="25">#REF!</definedName>
    <definedName name="_____________________obl17" localSheetId="19">#REF!</definedName>
    <definedName name="_____________________obl17" localSheetId="30">#REF!</definedName>
    <definedName name="_____________________obl17">#REF!</definedName>
    <definedName name="_____________________obl1710" localSheetId="25">#REF!</definedName>
    <definedName name="_____________________obl1710" localSheetId="19">#REF!</definedName>
    <definedName name="_____________________obl1710" localSheetId="30">#REF!</definedName>
    <definedName name="_____________________obl1710">#REF!</definedName>
    <definedName name="_____________________obl1711" localSheetId="25">#REF!</definedName>
    <definedName name="_____________________obl1711" localSheetId="19">#REF!</definedName>
    <definedName name="_____________________obl1711" localSheetId="30">#REF!</definedName>
    <definedName name="_____________________obl1711">#REF!</definedName>
    <definedName name="_____________________obl1712" localSheetId="25">#REF!</definedName>
    <definedName name="_____________________obl1712" localSheetId="19">#REF!</definedName>
    <definedName name="_____________________obl1712" localSheetId="30">#REF!</definedName>
    <definedName name="_____________________obl1712">#REF!</definedName>
    <definedName name="_____________________obl1713" localSheetId="25">#REF!</definedName>
    <definedName name="_____________________obl1713" localSheetId="19">#REF!</definedName>
    <definedName name="_____________________obl1713" localSheetId="30">#REF!</definedName>
    <definedName name="_____________________obl1713">#REF!</definedName>
    <definedName name="_____________________obl1714" localSheetId="25">#REF!</definedName>
    <definedName name="_____________________obl1714" localSheetId="19">#REF!</definedName>
    <definedName name="_____________________obl1714" localSheetId="30">#REF!</definedName>
    <definedName name="_____________________obl1714">#REF!</definedName>
    <definedName name="_____________________obl1715" localSheetId="25">#REF!</definedName>
    <definedName name="_____________________obl1715" localSheetId="19">#REF!</definedName>
    <definedName name="_____________________obl1715" localSheetId="30">#REF!</definedName>
    <definedName name="_____________________obl1715">#REF!</definedName>
    <definedName name="_____________________obl1716" localSheetId="25">#REF!</definedName>
    <definedName name="_____________________obl1716" localSheetId="19">#REF!</definedName>
    <definedName name="_____________________obl1716" localSheetId="30">#REF!</definedName>
    <definedName name="_____________________obl1716">#REF!</definedName>
    <definedName name="_____________________obl1717" localSheetId="25">#REF!</definedName>
    <definedName name="_____________________obl1717" localSheetId="19">#REF!</definedName>
    <definedName name="_____________________obl1717" localSheetId="30">#REF!</definedName>
    <definedName name="_____________________obl1717">#REF!</definedName>
    <definedName name="_____________________obl1718" localSheetId="25">#REF!</definedName>
    <definedName name="_____________________obl1718" localSheetId="19">#REF!</definedName>
    <definedName name="_____________________obl1718" localSheetId="30">#REF!</definedName>
    <definedName name="_____________________obl1718">#REF!</definedName>
    <definedName name="_____________________obl1719" localSheetId="25">#REF!</definedName>
    <definedName name="_____________________obl1719" localSheetId="19">#REF!</definedName>
    <definedName name="_____________________obl1719" localSheetId="30">#REF!</definedName>
    <definedName name="_____________________obl1719">#REF!</definedName>
    <definedName name="_____________________obl173" localSheetId="25">#REF!</definedName>
    <definedName name="_____________________obl173" localSheetId="19">#REF!</definedName>
    <definedName name="_____________________obl173" localSheetId="30">#REF!</definedName>
    <definedName name="_____________________obl173">#REF!</definedName>
    <definedName name="_____________________obl174" localSheetId="25">#REF!</definedName>
    <definedName name="_____________________obl174" localSheetId="19">#REF!</definedName>
    <definedName name="_____________________obl174" localSheetId="30">#REF!</definedName>
    <definedName name="_____________________obl174">#REF!</definedName>
    <definedName name="_____________________obl175" localSheetId="25">#REF!</definedName>
    <definedName name="_____________________obl175" localSheetId="19">#REF!</definedName>
    <definedName name="_____________________obl175" localSheetId="30">#REF!</definedName>
    <definedName name="_____________________obl175">#REF!</definedName>
    <definedName name="_____________________obl176" localSheetId="25">#REF!</definedName>
    <definedName name="_____________________obl176" localSheetId="19">#REF!</definedName>
    <definedName name="_____________________obl176" localSheetId="30">#REF!</definedName>
    <definedName name="_____________________obl176">#REF!</definedName>
    <definedName name="_____________________obl177" localSheetId="25">#REF!</definedName>
    <definedName name="_____________________obl177" localSheetId="19">#REF!</definedName>
    <definedName name="_____________________obl177" localSheetId="30">#REF!</definedName>
    <definedName name="_____________________obl177">#REF!</definedName>
    <definedName name="_____________________obl178" localSheetId="25">#REF!</definedName>
    <definedName name="_____________________obl178" localSheetId="19">#REF!</definedName>
    <definedName name="_____________________obl178" localSheetId="30">#REF!</definedName>
    <definedName name="_____________________obl178">#REF!</definedName>
    <definedName name="_____________________obl179" localSheetId="25">#REF!</definedName>
    <definedName name="_____________________obl179" localSheetId="19">#REF!</definedName>
    <definedName name="_____________________obl179" localSheetId="30">#REF!</definedName>
    <definedName name="_____________________obl179">#REF!</definedName>
    <definedName name="_____________________obl18" localSheetId="25">#REF!</definedName>
    <definedName name="_____________________obl18" localSheetId="19">#REF!</definedName>
    <definedName name="_____________________obl18" localSheetId="30">#REF!</definedName>
    <definedName name="_____________________obl18">#REF!</definedName>
    <definedName name="_____________________obl181" localSheetId="25">#REF!</definedName>
    <definedName name="_____________________obl181" localSheetId="19">#REF!</definedName>
    <definedName name="_____________________obl181" localSheetId="30">#REF!</definedName>
    <definedName name="_____________________obl181">#REF!</definedName>
    <definedName name="_____________________obl1816" localSheetId="25">#REF!</definedName>
    <definedName name="_____________________obl1816" localSheetId="19">#REF!</definedName>
    <definedName name="_____________________obl1816" localSheetId="30">#REF!</definedName>
    <definedName name="_____________________obl1816">#REF!</definedName>
    <definedName name="_____________________obl1820" localSheetId="25">#REF!</definedName>
    <definedName name="_____________________obl1820" localSheetId="19">#REF!</definedName>
    <definedName name="_____________________obl1820" localSheetId="30">#REF!</definedName>
    <definedName name="_____________________obl1820">#REF!</definedName>
    <definedName name="_____________________obl1821" localSheetId="25">#REF!</definedName>
    <definedName name="_____________________obl1821" localSheetId="19">#REF!</definedName>
    <definedName name="_____________________obl1821" localSheetId="30">#REF!</definedName>
    <definedName name="_____________________obl1821">#REF!</definedName>
    <definedName name="_____________________obl1822" localSheetId="25">#REF!</definedName>
    <definedName name="_____________________obl1822" localSheetId="19">#REF!</definedName>
    <definedName name="_____________________obl1822" localSheetId="30">#REF!</definedName>
    <definedName name="_____________________obl1822">#REF!</definedName>
    <definedName name="_____________________obl1823" localSheetId="25">#REF!</definedName>
    <definedName name="_____________________obl1823" localSheetId="19">#REF!</definedName>
    <definedName name="_____________________obl1823" localSheetId="30">#REF!</definedName>
    <definedName name="_____________________obl1823">#REF!</definedName>
    <definedName name="_____________________obl1824" localSheetId="25">#REF!</definedName>
    <definedName name="_____________________obl1824" localSheetId="19">#REF!</definedName>
    <definedName name="_____________________obl1824" localSheetId="30">#REF!</definedName>
    <definedName name="_____________________obl1824">#REF!</definedName>
    <definedName name="_____________________obl1825" localSheetId="25">#REF!</definedName>
    <definedName name="_____________________obl1825" localSheetId="19">#REF!</definedName>
    <definedName name="_____________________obl1825" localSheetId="30">#REF!</definedName>
    <definedName name="_____________________obl1825">#REF!</definedName>
    <definedName name="_____________________obl1826" localSheetId="25">#REF!</definedName>
    <definedName name="_____________________obl1826" localSheetId="19">#REF!</definedName>
    <definedName name="_____________________obl1826" localSheetId="30">#REF!</definedName>
    <definedName name="_____________________obl1826">#REF!</definedName>
    <definedName name="_____________________obl1827" localSheetId="25">#REF!</definedName>
    <definedName name="_____________________obl1827" localSheetId="19">#REF!</definedName>
    <definedName name="_____________________obl1827" localSheetId="30">#REF!</definedName>
    <definedName name="_____________________obl1827">#REF!</definedName>
    <definedName name="_____________________obl1828" localSheetId="25">#REF!</definedName>
    <definedName name="_____________________obl1828" localSheetId="19">#REF!</definedName>
    <definedName name="_____________________obl1828" localSheetId="30">#REF!</definedName>
    <definedName name="_____________________obl1828">#REF!</definedName>
    <definedName name="_____________________obl1829" localSheetId="25">#REF!</definedName>
    <definedName name="_____________________obl1829" localSheetId="19">#REF!</definedName>
    <definedName name="_____________________obl1829" localSheetId="30">#REF!</definedName>
    <definedName name="_____________________obl1829">#REF!</definedName>
    <definedName name="_____________________obl183" localSheetId="25">#REF!</definedName>
    <definedName name="_____________________obl183" localSheetId="19">#REF!</definedName>
    <definedName name="_____________________obl183" localSheetId="30">#REF!</definedName>
    <definedName name="_____________________obl183">#REF!</definedName>
    <definedName name="_____________________obl1831" localSheetId="25">#REF!</definedName>
    <definedName name="_____________________obl1831" localSheetId="19">#REF!</definedName>
    <definedName name="_____________________obl1831" localSheetId="30">#REF!</definedName>
    <definedName name="_____________________obl1831">#REF!</definedName>
    <definedName name="_____________________obl1832" localSheetId="25">#REF!</definedName>
    <definedName name="_____________________obl1832" localSheetId="19">#REF!</definedName>
    <definedName name="_____________________obl1832" localSheetId="30">#REF!</definedName>
    <definedName name="_____________________obl1832">#REF!</definedName>
    <definedName name="_____________________obl184" localSheetId="25">#REF!</definedName>
    <definedName name="_____________________obl184" localSheetId="19">#REF!</definedName>
    <definedName name="_____________________obl184" localSheetId="30">#REF!</definedName>
    <definedName name="_____________________obl184">#REF!</definedName>
    <definedName name="_____________________obl185" localSheetId="25">#REF!</definedName>
    <definedName name="_____________________obl185" localSheetId="19">#REF!</definedName>
    <definedName name="_____________________obl185" localSheetId="30">#REF!</definedName>
    <definedName name="_____________________obl185">#REF!</definedName>
    <definedName name="_____________________obl186" localSheetId="25">#REF!</definedName>
    <definedName name="_____________________obl186" localSheetId="19">#REF!</definedName>
    <definedName name="_____________________obl186" localSheetId="30">#REF!</definedName>
    <definedName name="_____________________obl186">#REF!</definedName>
    <definedName name="_____________________obl187" localSheetId="25">#REF!</definedName>
    <definedName name="_____________________obl187" localSheetId="19">#REF!</definedName>
    <definedName name="_____________________obl187" localSheetId="30">#REF!</definedName>
    <definedName name="_____________________obl187">#REF!</definedName>
    <definedName name="___________________obl11" localSheetId="11">#REF!</definedName>
    <definedName name="___________________obl11" localSheetId="25">#REF!</definedName>
    <definedName name="___________________obl11" localSheetId="12">#REF!</definedName>
    <definedName name="___________________obl11" localSheetId="14">#REF!</definedName>
    <definedName name="___________________obl11" localSheetId="19">#REF!</definedName>
    <definedName name="___________________obl11" localSheetId="30">#REF!</definedName>
    <definedName name="___________________obl11" localSheetId="31">#REF!</definedName>
    <definedName name="___________________obl11" localSheetId="32">#REF!</definedName>
    <definedName name="___________________obl11" localSheetId="36">#REF!</definedName>
    <definedName name="___________________obl11" localSheetId="37">#REF!</definedName>
    <definedName name="___________________obl11" localSheetId="38">#REF!</definedName>
    <definedName name="___________________obl11">#REF!</definedName>
    <definedName name="___________________obl12" localSheetId="11">#REF!</definedName>
    <definedName name="___________________obl12" localSheetId="25">#REF!</definedName>
    <definedName name="___________________obl12" localSheetId="12">#REF!</definedName>
    <definedName name="___________________obl12" localSheetId="14">#REF!</definedName>
    <definedName name="___________________obl12" localSheetId="19">#REF!</definedName>
    <definedName name="___________________obl12" localSheetId="30">#REF!</definedName>
    <definedName name="___________________obl12" localSheetId="31">#REF!</definedName>
    <definedName name="___________________obl12" localSheetId="32">#REF!</definedName>
    <definedName name="___________________obl12" localSheetId="36">#REF!</definedName>
    <definedName name="___________________obl12" localSheetId="37">#REF!</definedName>
    <definedName name="___________________obl12" localSheetId="38">#REF!</definedName>
    <definedName name="___________________obl12">#REF!</definedName>
    <definedName name="___________________obl13" localSheetId="11">#REF!</definedName>
    <definedName name="___________________obl13" localSheetId="25">#REF!</definedName>
    <definedName name="___________________obl13" localSheetId="12">#REF!</definedName>
    <definedName name="___________________obl13" localSheetId="14">#REF!</definedName>
    <definedName name="___________________obl13" localSheetId="19">#REF!</definedName>
    <definedName name="___________________obl13" localSheetId="30">#REF!</definedName>
    <definedName name="___________________obl13" localSheetId="31">#REF!</definedName>
    <definedName name="___________________obl13" localSheetId="32">#REF!</definedName>
    <definedName name="___________________obl13">#REF!</definedName>
    <definedName name="___________________obl14" localSheetId="11">#REF!</definedName>
    <definedName name="___________________obl14" localSheetId="25">#REF!</definedName>
    <definedName name="___________________obl14" localSheetId="12">#REF!</definedName>
    <definedName name="___________________obl14" localSheetId="14">#REF!</definedName>
    <definedName name="___________________obl14" localSheetId="19">#REF!</definedName>
    <definedName name="___________________obl14" localSheetId="30">#REF!</definedName>
    <definedName name="___________________obl14" localSheetId="31">#REF!</definedName>
    <definedName name="___________________obl14" localSheetId="32">#REF!</definedName>
    <definedName name="___________________obl14">#REF!</definedName>
    <definedName name="___________________obl15" localSheetId="11">#REF!</definedName>
    <definedName name="___________________obl15" localSheetId="25">#REF!</definedName>
    <definedName name="___________________obl15" localSheetId="12">#REF!</definedName>
    <definedName name="___________________obl15" localSheetId="14">#REF!</definedName>
    <definedName name="___________________obl15" localSheetId="19">#REF!</definedName>
    <definedName name="___________________obl15" localSheetId="30">#REF!</definedName>
    <definedName name="___________________obl15" localSheetId="31">#REF!</definedName>
    <definedName name="___________________obl15" localSheetId="32">#REF!</definedName>
    <definedName name="___________________obl15">#REF!</definedName>
    <definedName name="___________________obl16" localSheetId="11">#REF!</definedName>
    <definedName name="___________________obl16" localSheetId="25">#REF!</definedName>
    <definedName name="___________________obl16" localSheetId="12">#REF!</definedName>
    <definedName name="___________________obl16" localSheetId="14">#REF!</definedName>
    <definedName name="___________________obl16" localSheetId="19">#REF!</definedName>
    <definedName name="___________________obl16" localSheetId="30">#REF!</definedName>
    <definedName name="___________________obl16" localSheetId="31">#REF!</definedName>
    <definedName name="___________________obl16" localSheetId="32">#REF!</definedName>
    <definedName name="___________________obl16">#REF!</definedName>
    <definedName name="___________________obl17" localSheetId="11">#REF!</definedName>
    <definedName name="___________________obl17" localSheetId="25">#REF!</definedName>
    <definedName name="___________________obl17" localSheetId="12">#REF!</definedName>
    <definedName name="___________________obl17" localSheetId="14">#REF!</definedName>
    <definedName name="___________________obl17" localSheetId="19">#REF!</definedName>
    <definedName name="___________________obl17" localSheetId="30">#REF!</definedName>
    <definedName name="___________________obl17" localSheetId="31">#REF!</definedName>
    <definedName name="___________________obl17" localSheetId="32">#REF!</definedName>
    <definedName name="___________________obl17">#REF!</definedName>
    <definedName name="___________________obl1710" localSheetId="11">#REF!</definedName>
    <definedName name="___________________obl1710" localSheetId="25">#REF!</definedName>
    <definedName name="___________________obl1710" localSheetId="12">#REF!</definedName>
    <definedName name="___________________obl1710" localSheetId="14">#REF!</definedName>
    <definedName name="___________________obl1710" localSheetId="19">#REF!</definedName>
    <definedName name="___________________obl1710" localSheetId="30">#REF!</definedName>
    <definedName name="___________________obl1710" localSheetId="31">#REF!</definedName>
    <definedName name="___________________obl1710" localSheetId="32">#REF!</definedName>
    <definedName name="___________________obl1710">#REF!</definedName>
    <definedName name="___________________obl1711" localSheetId="11">#REF!</definedName>
    <definedName name="___________________obl1711" localSheetId="25">#REF!</definedName>
    <definedName name="___________________obl1711" localSheetId="12">#REF!</definedName>
    <definedName name="___________________obl1711" localSheetId="14">#REF!</definedName>
    <definedName name="___________________obl1711" localSheetId="19">#REF!</definedName>
    <definedName name="___________________obl1711" localSheetId="30">#REF!</definedName>
    <definedName name="___________________obl1711" localSheetId="31">#REF!</definedName>
    <definedName name="___________________obl1711" localSheetId="32">#REF!</definedName>
    <definedName name="___________________obl1711">#REF!</definedName>
    <definedName name="___________________obl1712" localSheetId="11">#REF!</definedName>
    <definedName name="___________________obl1712" localSheetId="25">#REF!</definedName>
    <definedName name="___________________obl1712" localSheetId="12">#REF!</definedName>
    <definedName name="___________________obl1712" localSheetId="14">#REF!</definedName>
    <definedName name="___________________obl1712" localSheetId="19">#REF!</definedName>
    <definedName name="___________________obl1712" localSheetId="30">#REF!</definedName>
    <definedName name="___________________obl1712" localSheetId="31">#REF!</definedName>
    <definedName name="___________________obl1712" localSheetId="32">#REF!</definedName>
    <definedName name="___________________obl1712">#REF!</definedName>
    <definedName name="___________________obl1713" localSheetId="11">#REF!</definedName>
    <definedName name="___________________obl1713" localSheetId="25">#REF!</definedName>
    <definedName name="___________________obl1713" localSheetId="12">#REF!</definedName>
    <definedName name="___________________obl1713" localSheetId="14">#REF!</definedName>
    <definedName name="___________________obl1713" localSheetId="19">#REF!</definedName>
    <definedName name="___________________obl1713" localSheetId="30">#REF!</definedName>
    <definedName name="___________________obl1713" localSheetId="31">#REF!</definedName>
    <definedName name="___________________obl1713" localSheetId="32">#REF!</definedName>
    <definedName name="___________________obl1713">#REF!</definedName>
    <definedName name="___________________obl1714" localSheetId="11">#REF!</definedName>
    <definedName name="___________________obl1714" localSheetId="25">#REF!</definedName>
    <definedName name="___________________obl1714" localSheetId="12">#REF!</definedName>
    <definedName name="___________________obl1714" localSheetId="14">#REF!</definedName>
    <definedName name="___________________obl1714" localSheetId="19">#REF!</definedName>
    <definedName name="___________________obl1714" localSheetId="30">#REF!</definedName>
    <definedName name="___________________obl1714" localSheetId="31">#REF!</definedName>
    <definedName name="___________________obl1714" localSheetId="32">#REF!</definedName>
    <definedName name="___________________obl1714">#REF!</definedName>
    <definedName name="___________________obl1715" localSheetId="11">#REF!</definedName>
    <definedName name="___________________obl1715" localSheetId="25">#REF!</definedName>
    <definedName name="___________________obl1715" localSheetId="12">#REF!</definedName>
    <definedName name="___________________obl1715" localSheetId="14">#REF!</definedName>
    <definedName name="___________________obl1715" localSheetId="19">#REF!</definedName>
    <definedName name="___________________obl1715" localSheetId="30">#REF!</definedName>
    <definedName name="___________________obl1715" localSheetId="31">#REF!</definedName>
    <definedName name="___________________obl1715" localSheetId="32">#REF!</definedName>
    <definedName name="___________________obl1715">#REF!</definedName>
    <definedName name="___________________obl1716" localSheetId="11">#REF!</definedName>
    <definedName name="___________________obl1716" localSheetId="25">#REF!</definedName>
    <definedName name="___________________obl1716" localSheetId="12">#REF!</definedName>
    <definedName name="___________________obl1716" localSheetId="14">#REF!</definedName>
    <definedName name="___________________obl1716" localSheetId="19">#REF!</definedName>
    <definedName name="___________________obl1716" localSheetId="30">#REF!</definedName>
    <definedName name="___________________obl1716" localSheetId="31">#REF!</definedName>
    <definedName name="___________________obl1716" localSheetId="32">#REF!</definedName>
    <definedName name="___________________obl1716">#REF!</definedName>
    <definedName name="___________________obl1717" localSheetId="11">#REF!</definedName>
    <definedName name="___________________obl1717" localSheetId="25">#REF!</definedName>
    <definedName name="___________________obl1717" localSheetId="12">#REF!</definedName>
    <definedName name="___________________obl1717" localSheetId="14">#REF!</definedName>
    <definedName name="___________________obl1717" localSheetId="19">#REF!</definedName>
    <definedName name="___________________obl1717" localSheetId="30">#REF!</definedName>
    <definedName name="___________________obl1717" localSheetId="31">#REF!</definedName>
    <definedName name="___________________obl1717" localSheetId="32">#REF!</definedName>
    <definedName name="___________________obl1717">#REF!</definedName>
    <definedName name="___________________obl1718" localSheetId="11">#REF!</definedName>
    <definedName name="___________________obl1718" localSheetId="25">#REF!</definedName>
    <definedName name="___________________obl1718" localSheetId="12">#REF!</definedName>
    <definedName name="___________________obl1718" localSheetId="14">#REF!</definedName>
    <definedName name="___________________obl1718" localSheetId="19">#REF!</definedName>
    <definedName name="___________________obl1718" localSheetId="30">#REF!</definedName>
    <definedName name="___________________obl1718" localSheetId="31">#REF!</definedName>
    <definedName name="___________________obl1718" localSheetId="32">#REF!</definedName>
    <definedName name="___________________obl1718">#REF!</definedName>
    <definedName name="___________________obl1719" localSheetId="11">#REF!</definedName>
    <definedName name="___________________obl1719" localSheetId="25">#REF!</definedName>
    <definedName name="___________________obl1719" localSheetId="12">#REF!</definedName>
    <definedName name="___________________obl1719" localSheetId="14">#REF!</definedName>
    <definedName name="___________________obl1719" localSheetId="19">#REF!</definedName>
    <definedName name="___________________obl1719" localSheetId="30">#REF!</definedName>
    <definedName name="___________________obl1719" localSheetId="31">#REF!</definedName>
    <definedName name="___________________obl1719" localSheetId="32">#REF!</definedName>
    <definedName name="___________________obl1719">#REF!</definedName>
    <definedName name="___________________obl173" localSheetId="11">#REF!</definedName>
    <definedName name="___________________obl173" localSheetId="25">#REF!</definedName>
    <definedName name="___________________obl173" localSheetId="12">#REF!</definedName>
    <definedName name="___________________obl173" localSheetId="14">#REF!</definedName>
    <definedName name="___________________obl173" localSheetId="19">#REF!</definedName>
    <definedName name="___________________obl173" localSheetId="30">#REF!</definedName>
    <definedName name="___________________obl173" localSheetId="31">#REF!</definedName>
    <definedName name="___________________obl173" localSheetId="32">#REF!</definedName>
    <definedName name="___________________obl173">#REF!</definedName>
    <definedName name="___________________obl174" localSheetId="11">#REF!</definedName>
    <definedName name="___________________obl174" localSheetId="25">#REF!</definedName>
    <definedName name="___________________obl174" localSheetId="12">#REF!</definedName>
    <definedName name="___________________obl174" localSheetId="14">#REF!</definedName>
    <definedName name="___________________obl174" localSheetId="19">#REF!</definedName>
    <definedName name="___________________obl174" localSheetId="30">#REF!</definedName>
    <definedName name="___________________obl174" localSheetId="31">#REF!</definedName>
    <definedName name="___________________obl174" localSheetId="32">#REF!</definedName>
    <definedName name="___________________obl174">#REF!</definedName>
    <definedName name="___________________obl175" localSheetId="11">#REF!</definedName>
    <definedName name="___________________obl175" localSheetId="25">#REF!</definedName>
    <definedName name="___________________obl175" localSheetId="12">#REF!</definedName>
    <definedName name="___________________obl175" localSheetId="14">#REF!</definedName>
    <definedName name="___________________obl175" localSheetId="19">#REF!</definedName>
    <definedName name="___________________obl175" localSheetId="30">#REF!</definedName>
    <definedName name="___________________obl175" localSheetId="31">#REF!</definedName>
    <definedName name="___________________obl175" localSheetId="32">#REF!</definedName>
    <definedName name="___________________obl175">#REF!</definedName>
    <definedName name="___________________obl176" localSheetId="11">#REF!</definedName>
    <definedName name="___________________obl176" localSheetId="25">#REF!</definedName>
    <definedName name="___________________obl176" localSheetId="12">#REF!</definedName>
    <definedName name="___________________obl176" localSheetId="14">#REF!</definedName>
    <definedName name="___________________obl176" localSheetId="19">#REF!</definedName>
    <definedName name="___________________obl176" localSheetId="30">#REF!</definedName>
    <definedName name="___________________obl176" localSheetId="31">#REF!</definedName>
    <definedName name="___________________obl176" localSheetId="32">#REF!</definedName>
    <definedName name="___________________obl176">#REF!</definedName>
    <definedName name="___________________obl177" localSheetId="11">#REF!</definedName>
    <definedName name="___________________obl177" localSheetId="25">#REF!</definedName>
    <definedName name="___________________obl177" localSheetId="12">#REF!</definedName>
    <definedName name="___________________obl177" localSheetId="14">#REF!</definedName>
    <definedName name="___________________obl177" localSheetId="19">#REF!</definedName>
    <definedName name="___________________obl177" localSheetId="30">#REF!</definedName>
    <definedName name="___________________obl177" localSheetId="31">#REF!</definedName>
    <definedName name="___________________obl177" localSheetId="32">#REF!</definedName>
    <definedName name="___________________obl177">#REF!</definedName>
    <definedName name="___________________obl178" localSheetId="11">#REF!</definedName>
    <definedName name="___________________obl178" localSheetId="25">#REF!</definedName>
    <definedName name="___________________obl178" localSheetId="12">#REF!</definedName>
    <definedName name="___________________obl178" localSheetId="14">#REF!</definedName>
    <definedName name="___________________obl178" localSheetId="19">#REF!</definedName>
    <definedName name="___________________obl178" localSheetId="30">#REF!</definedName>
    <definedName name="___________________obl178" localSheetId="31">#REF!</definedName>
    <definedName name="___________________obl178" localSheetId="32">#REF!</definedName>
    <definedName name="___________________obl178">#REF!</definedName>
    <definedName name="___________________obl179" localSheetId="11">#REF!</definedName>
    <definedName name="___________________obl179" localSheetId="25">#REF!</definedName>
    <definedName name="___________________obl179" localSheetId="12">#REF!</definedName>
    <definedName name="___________________obl179" localSheetId="14">#REF!</definedName>
    <definedName name="___________________obl179" localSheetId="19">#REF!</definedName>
    <definedName name="___________________obl179" localSheetId="30">#REF!</definedName>
    <definedName name="___________________obl179" localSheetId="31">#REF!</definedName>
    <definedName name="___________________obl179" localSheetId="32">#REF!</definedName>
    <definedName name="___________________obl179">#REF!</definedName>
    <definedName name="___________________obl18" localSheetId="11">#REF!</definedName>
    <definedName name="___________________obl18" localSheetId="25">#REF!</definedName>
    <definedName name="___________________obl18" localSheetId="12">#REF!</definedName>
    <definedName name="___________________obl18" localSheetId="14">#REF!</definedName>
    <definedName name="___________________obl18" localSheetId="19">#REF!</definedName>
    <definedName name="___________________obl18" localSheetId="30">#REF!</definedName>
    <definedName name="___________________obl18" localSheetId="31">#REF!</definedName>
    <definedName name="___________________obl18" localSheetId="32">#REF!</definedName>
    <definedName name="___________________obl18">#REF!</definedName>
    <definedName name="___________________obl181" localSheetId="11">#REF!</definedName>
    <definedName name="___________________obl181" localSheetId="25">#REF!</definedName>
    <definedName name="___________________obl181" localSheetId="12">#REF!</definedName>
    <definedName name="___________________obl181" localSheetId="14">#REF!</definedName>
    <definedName name="___________________obl181" localSheetId="19">#REF!</definedName>
    <definedName name="___________________obl181" localSheetId="30">#REF!</definedName>
    <definedName name="___________________obl181" localSheetId="31">#REF!</definedName>
    <definedName name="___________________obl181" localSheetId="32">#REF!</definedName>
    <definedName name="___________________obl181">#REF!</definedName>
    <definedName name="___________________obl1816" localSheetId="11">#REF!</definedName>
    <definedName name="___________________obl1816" localSheetId="25">#REF!</definedName>
    <definedName name="___________________obl1816" localSheetId="12">#REF!</definedName>
    <definedName name="___________________obl1816" localSheetId="14">#REF!</definedName>
    <definedName name="___________________obl1816" localSheetId="19">#REF!</definedName>
    <definedName name="___________________obl1816" localSheetId="30">#REF!</definedName>
    <definedName name="___________________obl1816" localSheetId="31">#REF!</definedName>
    <definedName name="___________________obl1816" localSheetId="32">#REF!</definedName>
    <definedName name="___________________obl1816">#REF!</definedName>
    <definedName name="___________________obl1820" localSheetId="11">#REF!</definedName>
    <definedName name="___________________obl1820" localSheetId="25">#REF!</definedName>
    <definedName name="___________________obl1820" localSheetId="12">#REF!</definedName>
    <definedName name="___________________obl1820" localSheetId="14">#REF!</definedName>
    <definedName name="___________________obl1820" localSheetId="19">#REF!</definedName>
    <definedName name="___________________obl1820" localSheetId="30">#REF!</definedName>
    <definedName name="___________________obl1820" localSheetId="31">#REF!</definedName>
    <definedName name="___________________obl1820" localSheetId="32">#REF!</definedName>
    <definedName name="___________________obl1820">#REF!</definedName>
    <definedName name="___________________obl1821" localSheetId="11">#REF!</definedName>
    <definedName name="___________________obl1821" localSheetId="25">#REF!</definedName>
    <definedName name="___________________obl1821" localSheetId="12">#REF!</definedName>
    <definedName name="___________________obl1821" localSheetId="14">#REF!</definedName>
    <definedName name="___________________obl1821" localSheetId="19">#REF!</definedName>
    <definedName name="___________________obl1821" localSheetId="30">#REF!</definedName>
    <definedName name="___________________obl1821" localSheetId="31">#REF!</definedName>
    <definedName name="___________________obl1821" localSheetId="32">#REF!</definedName>
    <definedName name="___________________obl1821">#REF!</definedName>
    <definedName name="___________________obl1822" localSheetId="11">#REF!</definedName>
    <definedName name="___________________obl1822" localSheetId="25">#REF!</definedName>
    <definedName name="___________________obl1822" localSheetId="12">#REF!</definedName>
    <definedName name="___________________obl1822" localSheetId="14">#REF!</definedName>
    <definedName name="___________________obl1822" localSheetId="19">#REF!</definedName>
    <definedName name="___________________obl1822" localSheetId="30">#REF!</definedName>
    <definedName name="___________________obl1822" localSheetId="31">#REF!</definedName>
    <definedName name="___________________obl1822" localSheetId="32">#REF!</definedName>
    <definedName name="___________________obl1822">#REF!</definedName>
    <definedName name="___________________obl1823" localSheetId="11">#REF!</definedName>
    <definedName name="___________________obl1823" localSheetId="25">#REF!</definedName>
    <definedName name="___________________obl1823" localSheetId="12">#REF!</definedName>
    <definedName name="___________________obl1823" localSheetId="14">#REF!</definedName>
    <definedName name="___________________obl1823" localSheetId="19">#REF!</definedName>
    <definedName name="___________________obl1823" localSheetId="30">#REF!</definedName>
    <definedName name="___________________obl1823" localSheetId="31">#REF!</definedName>
    <definedName name="___________________obl1823" localSheetId="32">#REF!</definedName>
    <definedName name="___________________obl1823">#REF!</definedName>
    <definedName name="___________________obl1824" localSheetId="11">#REF!</definedName>
    <definedName name="___________________obl1824" localSheetId="25">#REF!</definedName>
    <definedName name="___________________obl1824" localSheetId="12">#REF!</definedName>
    <definedName name="___________________obl1824" localSheetId="14">#REF!</definedName>
    <definedName name="___________________obl1824" localSheetId="19">#REF!</definedName>
    <definedName name="___________________obl1824" localSheetId="30">#REF!</definedName>
    <definedName name="___________________obl1824" localSheetId="31">#REF!</definedName>
    <definedName name="___________________obl1824" localSheetId="32">#REF!</definedName>
    <definedName name="___________________obl1824">#REF!</definedName>
    <definedName name="___________________obl1825" localSheetId="11">#REF!</definedName>
    <definedName name="___________________obl1825" localSheetId="25">#REF!</definedName>
    <definedName name="___________________obl1825" localSheetId="12">#REF!</definedName>
    <definedName name="___________________obl1825" localSheetId="14">#REF!</definedName>
    <definedName name="___________________obl1825" localSheetId="19">#REF!</definedName>
    <definedName name="___________________obl1825" localSheetId="30">#REF!</definedName>
    <definedName name="___________________obl1825" localSheetId="31">#REF!</definedName>
    <definedName name="___________________obl1825" localSheetId="32">#REF!</definedName>
    <definedName name="___________________obl1825">#REF!</definedName>
    <definedName name="___________________obl1826" localSheetId="11">#REF!</definedName>
    <definedName name="___________________obl1826" localSheetId="25">#REF!</definedName>
    <definedName name="___________________obl1826" localSheetId="12">#REF!</definedName>
    <definedName name="___________________obl1826" localSheetId="14">#REF!</definedName>
    <definedName name="___________________obl1826" localSheetId="19">#REF!</definedName>
    <definedName name="___________________obl1826" localSheetId="30">#REF!</definedName>
    <definedName name="___________________obl1826" localSheetId="31">#REF!</definedName>
    <definedName name="___________________obl1826" localSheetId="32">#REF!</definedName>
    <definedName name="___________________obl1826">#REF!</definedName>
    <definedName name="___________________obl1827" localSheetId="11">#REF!</definedName>
    <definedName name="___________________obl1827" localSheetId="25">#REF!</definedName>
    <definedName name="___________________obl1827" localSheetId="12">#REF!</definedName>
    <definedName name="___________________obl1827" localSheetId="14">#REF!</definedName>
    <definedName name="___________________obl1827" localSheetId="19">#REF!</definedName>
    <definedName name="___________________obl1827" localSheetId="30">#REF!</definedName>
    <definedName name="___________________obl1827" localSheetId="31">#REF!</definedName>
    <definedName name="___________________obl1827" localSheetId="32">#REF!</definedName>
    <definedName name="___________________obl1827">#REF!</definedName>
    <definedName name="___________________obl1828" localSheetId="11">#REF!</definedName>
    <definedName name="___________________obl1828" localSheetId="25">#REF!</definedName>
    <definedName name="___________________obl1828" localSheetId="12">#REF!</definedName>
    <definedName name="___________________obl1828" localSheetId="14">#REF!</definedName>
    <definedName name="___________________obl1828" localSheetId="19">#REF!</definedName>
    <definedName name="___________________obl1828" localSheetId="30">#REF!</definedName>
    <definedName name="___________________obl1828" localSheetId="31">#REF!</definedName>
    <definedName name="___________________obl1828" localSheetId="32">#REF!</definedName>
    <definedName name="___________________obl1828">#REF!</definedName>
    <definedName name="___________________obl1829" localSheetId="11">#REF!</definedName>
    <definedName name="___________________obl1829" localSheetId="25">#REF!</definedName>
    <definedName name="___________________obl1829" localSheetId="12">#REF!</definedName>
    <definedName name="___________________obl1829" localSheetId="14">#REF!</definedName>
    <definedName name="___________________obl1829" localSheetId="19">#REF!</definedName>
    <definedName name="___________________obl1829" localSheetId="30">#REF!</definedName>
    <definedName name="___________________obl1829" localSheetId="31">#REF!</definedName>
    <definedName name="___________________obl1829" localSheetId="32">#REF!</definedName>
    <definedName name="___________________obl1829">#REF!</definedName>
    <definedName name="___________________obl183" localSheetId="11">#REF!</definedName>
    <definedName name="___________________obl183" localSheetId="25">#REF!</definedName>
    <definedName name="___________________obl183" localSheetId="12">#REF!</definedName>
    <definedName name="___________________obl183" localSheetId="14">#REF!</definedName>
    <definedName name="___________________obl183" localSheetId="19">#REF!</definedName>
    <definedName name="___________________obl183" localSheetId="30">#REF!</definedName>
    <definedName name="___________________obl183" localSheetId="31">#REF!</definedName>
    <definedName name="___________________obl183" localSheetId="32">#REF!</definedName>
    <definedName name="___________________obl183">#REF!</definedName>
    <definedName name="___________________obl1831" localSheetId="11">#REF!</definedName>
    <definedName name="___________________obl1831" localSheetId="25">#REF!</definedName>
    <definedName name="___________________obl1831" localSheetId="12">#REF!</definedName>
    <definedName name="___________________obl1831" localSheetId="14">#REF!</definedName>
    <definedName name="___________________obl1831" localSheetId="19">#REF!</definedName>
    <definedName name="___________________obl1831" localSheetId="30">#REF!</definedName>
    <definedName name="___________________obl1831" localSheetId="31">#REF!</definedName>
    <definedName name="___________________obl1831" localSheetId="32">#REF!</definedName>
    <definedName name="___________________obl1831">#REF!</definedName>
    <definedName name="___________________obl1832" localSheetId="11">#REF!</definedName>
    <definedName name="___________________obl1832" localSheetId="25">#REF!</definedName>
    <definedName name="___________________obl1832" localSheetId="12">#REF!</definedName>
    <definedName name="___________________obl1832" localSheetId="14">#REF!</definedName>
    <definedName name="___________________obl1832" localSheetId="19">#REF!</definedName>
    <definedName name="___________________obl1832" localSheetId="30">#REF!</definedName>
    <definedName name="___________________obl1832" localSheetId="31">#REF!</definedName>
    <definedName name="___________________obl1832" localSheetId="32">#REF!</definedName>
    <definedName name="___________________obl1832">#REF!</definedName>
    <definedName name="___________________obl184" localSheetId="11">#REF!</definedName>
    <definedName name="___________________obl184" localSheetId="25">#REF!</definedName>
    <definedName name="___________________obl184" localSheetId="12">#REF!</definedName>
    <definedName name="___________________obl184" localSheetId="14">#REF!</definedName>
    <definedName name="___________________obl184" localSheetId="19">#REF!</definedName>
    <definedName name="___________________obl184" localSheetId="30">#REF!</definedName>
    <definedName name="___________________obl184" localSheetId="31">#REF!</definedName>
    <definedName name="___________________obl184" localSheetId="32">#REF!</definedName>
    <definedName name="___________________obl184">#REF!</definedName>
    <definedName name="___________________obl185" localSheetId="11">#REF!</definedName>
    <definedName name="___________________obl185" localSheetId="25">#REF!</definedName>
    <definedName name="___________________obl185" localSheetId="12">#REF!</definedName>
    <definedName name="___________________obl185" localSheetId="14">#REF!</definedName>
    <definedName name="___________________obl185" localSheetId="19">#REF!</definedName>
    <definedName name="___________________obl185" localSheetId="30">#REF!</definedName>
    <definedName name="___________________obl185" localSheetId="31">#REF!</definedName>
    <definedName name="___________________obl185" localSheetId="32">#REF!</definedName>
    <definedName name="___________________obl185">#REF!</definedName>
    <definedName name="___________________obl186" localSheetId="11">#REF!</definedName>
    <definedName name="___________________obl186" localSheetId="25">#REF!</definedName>
    <definedName name="___________________obl186" localSheetId="12">#REF!</definedName>
    <definedName name="___________________obl186" localSheetId="14">#REF!</definedName>
    <definedName name="___________________obl186" localSheetId="19">#REF!</definedName>
    <definedName name="___________________obl186" localSheetId="30">#REF!</definedName>
    <definedName name="___________________obl186" localSheetId="31">#REF!</definedName>
    <definedName name="___________________obl186" localSheetId="32">#REF!</definedName>
    <definedName name="___________________obl186">#REF!</definedName>
    <definedName name="___________________obl187" localSheetId="11">#REF!</definedName>
    <definedName name="___________________obl187" localSheetId="25">#REF!</definedName>
    <definedName name="___________________obl187" localSheetId="12">#REF!</definedName>
    <definedName name="___________________obl187" localSheetId="14">#REF!</definedName>
    <definedName name="___________________obl187" localSheetId="19">#REF!</definedName>
    <definedName name="___________________obl187" localSheetId="30">#REF!</definedName>
    <definedName name="___________________obl187" localSheetId="31">#REF!</definedName>
    <definedName name="___________________obl187" localSheetId="32">#REF!</definedName>
    <definedName name="___________________obl187">#REF!</definedName>
    <definedName name="__________________obl11" localSheetId="11">#REF!</definedName>
    <definedName name="__________________obl11" localSheetId="24">#REF!</definedName>
    <definedName name="__________________obl11" localSheetId="25">#REF!</definedName>
    <definedName name="__________________obl11" localSheetId="12">#REF!</definedName>
    <definedName name="__________________obl11" localSheetId="14">#REF!</definedName>
    <definedName name="__________________obl11" localSheetId="30">#REF!</definedName>
    <definedName name="__________________obl11" localSheetId="31">#REF!</definedName>
    <definedName name="__________________obl11" localSheetId="32">#REF!</definedName>
    <definedName name="__________________obl11">#REF!</definedName>
    <definedName name="__________________obl12" localSheetId="11">#REF!</definedName>
    <definedName name="__________________obl12" localSheetId="24">#REF!</definedName>
    <definedName name="__________________obl12" localSheetId="25">#REF!</definedName>
    <definedName name="__________________obl12" localSheetId="12">#REF!</definedName>
    <definedName name="__________________obl12" localSheetId="14">#REF!</definedName>
    <definedName name="__________________obl12" localSheetId="30">#REF!</definedName>
    <definedName name="__________________obl12" localSheetId="31">#REF!</definedName>
    <definedName name="__________________obl12" localSheetId="32">#REF!</definedName>
    <definedName name="__________________obl12">#REF!</definedName>
    <definedName name="__________________obl13" localSheetId="11">#REF!</definedName>
    <definedName name="__________________obl13" localSheetId="24">#REF!</definedName>
    <definedName name="__________________obl13" localSheetId="25">#REF!</definedName>
    <definedName name="__________________obl13" localSheetId="12">#REF!</definedName>
    <definedName name="__________________obl13" localSheetId="14">#REF!</definedName>
    <definedName name="__________________obl13" localSheetId="30">#REF!</definedName>
    <definedName name="__________________obl13" localSheetId="31">#REF!</definedName>
    <definedName name="__________________obl13" localSheetId="32">#REF!</definedName>
    <definedName name="__________________obl13">#REF!</definedName>
    <definedName name="__________________obl14" localSheetId="11">#REF!</definedName>
    <definedName name="__________________obl14" localSheetId="24">#REF!</definedName>
    <definedName name="__________________obl14" localSheetId="25">#REF!</definedName>
    <definedName name="__________________obl14" localSheetId="12">#REF!</definedName>
    <definedName name="__________________obl14" localSheetId="14">#REF!</definedName>
    <definedName name="__________________obl14" localSheetId="30">#REF!</definedName>
    <definedName name="__________________obl14" localSheetId="31">#REF!</definedName>
    <definedName name="__________________obl14" localSheetId="32">#REF!</definedName>
    <definedName name="__________________obl14">#REF!</definedName>
    <definedName name="__________________obl15" localSheetId="11">#REF!</definedName>
    <definedName name="__________________obl15" localSheetId="24">#REF!</definedName>
    <definedName name="__________________obl15" localSheetId="25">#REF!</definedName>
    <definedName name="__________________obl15" localSheetId="12">#REF!</definedName>
    <definedName name="__________________obl15" localSheetId="14">#REF!</definedName>
    <definedName name="__________________obl15" localSheetId="30">#REF!</definedName>
    <definedName name="__________________obl15" localSheetId="31">#REF!</definedName>
    <definedName name="__________________obl15" localSheetId="32">#REF!</definedName>
    <definedName name="__________________obl15">#REF!</definedName>
    <definedName name="__________________obl16" localSheetId="11">#REF!</definedName>
    <definedName name="__________________obl16" localSheetId="24">#REF!</definedName>
    <definedName name="__________________obl16" localSheetId="25">#REF!</definedName>
    <definedName name="__________________obl16" localSheetId="12">#REF!</definedName>
    <definedName name="__________________obl16" localSheetId="14">#REF!</definedName>
    <definedName name="__________________obl16" localSheetId="30">#REF!</definedName>
    <definedName name="__________________obl16" localSheetId="31">#REF!</definedName>
    <definedName name="__________________obl16" localSheetId="32">#REF!</definedName>
    <definedName name="__________________obl16">#REF!</definedName>
    <definedName name="__________________obl17" localSheetId="11">#REF!</definedName>
    <definedName name="__________________obl17" localSheetId="24">#REF!</definedName>
    <definedName name="__________________obl17" localSheetId="25">#REF!</definedName>
    <definedName name="__________________obl17" localSheetId="12">#REF!</definedName>
    <definedName name="__________________obl17" localSheetId="14">#REF!</definedName>
    <definedName name="__________________obl17" localSheetId="30">#REF!</definedName>
    <definedName name="__________________obl17" localSheetId="31">#REF!</definedName>
    <definedName name="__________________obl17" localSheetId="32">#REF!</definedName>
    <definedName name="__________________obl17">#REF!</definedName>
    <definedName name="__________________obl1710" localSheetId="11">#REF!</definedName>
    <definedName name="__________________obl1710" localSheetId="24">#REF!</definedName>
    <definedName name="__________________obl1710" localSheetId="25">#REF!</definedName>
    <definedName name="__________________obl1710" localSheetId="12">#REF!</definedName>
    <definedName name="__________________obl1710" localSheetId="14">#REF!</definedName>
    <definedName name="__________________obl1710" localSheetId="30">#REF!</definedName>
    <definedName name="__________________obl1710" localSheetId="31">#REF!</definedName>
    <definedName name="__________________obl1710" localSheetId="32">#REF!</definedName>
    <definedName name="__________________obl1710">#REF!</definedName>
    <definedName name="__________________obl1711" localSheetId="11">#REF!</definedName>
    <definedName name="__________________obl1711" localSheetId="24">#REF!</definedName>
    <definedName name="__________________obl1711" localSheetId="25">#REF!</definedName>
    <definedName name="__________________obl1711" localSheetId="12">#REF!</definedName>
    <definedName name="__________________obl1711" localSheetId="14">#REF!</definedName>
    <definedName name="__________________obl1711" localSheetId="30">#REF!</definedName>
    <definedName name="__________________obl1711" localSheetId="31">#REF!</definedName>
    <definedName name="__________________obl1711" localSheetId="32">#REF!</definedName>
    <definedName name="__________________obl1711">#REF!</definedName>
    <definedName name="__________________obl1712" localSheetId="11">#REF!</definedName>
    <definedName name="__________________obl1712" localSheetId="24">#REF!</definedName>
    <definedName name="__________________obl1712" localSheetId="25">#REF!</definedName>
    <definedName name="__________________obl1712" localSheetId="12">#REF!</definedName>
    <definedName name="__________________obl1712" localSheetId="14">#REF!</definedName>
    <definedName name="__________________obl1712" localSheetId="30">#REF!</definedName>
    <definedName name="__________________obl1712" localSheetId="31">#REF!</definedName>
    <definedName name="__________________obl1712" localSheetId="32">#REF!</definedName>
    <definedName name="__________________obl1712">#REF!</definedName>
    <definedName name="__________________obl1713" localSheetId="11">#REF!</definedName>
    <definedName name="__________________obl1713" localSheetId="24">#REF!</definedName>
    <definedName name="__________________obl1713" localSheetId="25">#REF!</definedName>
    <definedName name="__________________obl1713" localSheetId="12">#REF!</definedName>
    <definedName name="__________________obl1713" localSheetId="14">#REF!</definedName>
    <definedName name="__________________obl1713" localSheetId="30">#REF!</definedName>
    <definedName name="__________________obl1713" localSheetId="31">#REF!</definedName>
    <definedName name="__________________obl1713" localSheetId="32">#REF!</definedName>
    <definedName name="__________________obl1713">#REF!</definedName>
    <definedName name="__________________obl1714" localSheetId="11">#REF!</definedName>
    <definedName name="__________________obl1714" localSheetId="24">#REF!</definedName>
    <definedName name="__________________obl1714" localSheetId="25">#REF!</definedName>
    <definedName name="__________________obl1714" localSheetId="12">#REF!</definedName>
    <definedName name="__________________obl1714" localSheetId="14">#REF!</definedName>
    <definedName name="__________________obl1714" localSheetId="30">#REF!</definedName>
    <definedName name="__________________obl1714" localSheetId="31">#REF!</definedName>
    <definedName name="__________________obl1714" localSheetId="32">#REF!</definedName>
    <definedName name="__________________obl1714">#REF!</definedName>
    <definedName name="__________________obl1715" localSheetId="11">#REF!</definedName>
    <definedName name="__________________obl1715" localSheetId="24">#REF!</definedName>
    <definedName name="__________________obl1715" localSheetId="25">#REF!</definedName>
    <definedName name="__________________obl1715" localSheetId="12">#REF!</definedName>
    <definedName name="__________________obl1715" localSheetId="14">#REF!</definedName>
    <definedName name="__________________obl1715" localSheetId="30">#REF!</definedName>
    <definedName name="__________________obl1715" localSheetId="31">#REF!</definedName>
    <definedName name="__________________obl1715" localSheetId="32">#REF!</definedName>
    <definedName name="__________________obl1715">#REF!</definedName>
    <definedName name="__________________obl1716" localSheetId="11">#REF!</definedName>
    <definedName name="__________________obl1716" localSheetId="24">#REF!</definedName>
    <definedName name="__________________obl1716" localSheetId="25">#REF!</definedName>
    <definedName name="__________________obl1716" localSheetId="12">#REF!</definedName>
    <definedName name="__________________obl1716" localSheetId="14">#REF!</definedName>
    <definedName name="__________________obl1716" localSheetId="30">#REF!</definedName>
    <definedName name="__________________obl1716" localSheetId="31">#REF!</definedName>
    <definedName name="__________________obl1716" localSheetId="32">#REF!</definedName>
    <definedName name="__________________obl1716">#REF!</definedName>
    <definedName name="__________________obl1717" localSheetId="11">#REF!</definedName>
    <definedName name="__________________obl1717" localSheetId="24">#REF!</definedName>
    <definedName name="__________________obl1717" localSheetId="25">#REF!</definedName>
    <definedName name="__________________obl1717" localSheetId="12">#REF!</definedName>
    <definedName name="__________________obl1717" localSheetId="14">#REF!</definedName>
    <definedName name="__________________obl1717" localSheetId="30">#REF!</definedName>
    <definedName name="__________________obl1717" localSheetId="31">#REF!</definedName>
    <definedName name="__________________obl1717" localSheetId="32">#REF!</definedName>
    <definedName name="__________________obl1717">#REF!</definedName>
    <definedName name="__________________obl1718" localSheetId="11">#REF!</definedName>
    <definedName name="__________________obl1718" localSheetId="24">#REF!</definedName>
    <definedName name="__________________obl1718" localSheetId="25">#REF!</definedName>
    <definedName name="__________________obl1718" localSheetId="12">#REF!</definedName>
    <definedName name="__________________obl1718" localSheetId="14">#REF!</definedName>
    <definedName name="__________________obl1718" localSheetId="30">#REF!</definedName>
    <definedName name="__________________obl1718" localSheetId="31">#REF!</definedName>
    <definedName name="__________________obl1718" localSheetId="32">#REF!</definedName>
    <definedName name="__________________obl1718">#REF!</definedName>
    <definedName name="__________________obl1719" localSheetId="11">#REF!</definedName>
    <definedName name="__________________obl1719" localSheetId="24">#REF!</definedName>
    <definedName name="__________________obl1719" localSheetId="25">#REF!</definedName>
    <definedName name="__________________obl1719" localSheetId="12">#REF!</definedName>
    <definedName name="__________________obl1719" localSheetId="14">#REF!</definedName>
    <definedName name="__________________obl1719" localSheetId="30">#REF!</definedName>
    <definedName name="__________________obl1719" localSheetId="31">#REF!</definedName>
    <definedName name="__________________obl1719" localSheetId="32">#REF!</definedName>
    <definedName name="__________________obl1719">#REF!</definedName>
    <definedName name="__________________obl173" localSheetId="11">#REF!</definedName>
    <definedName name="__________________obl173" localSheetId="24">#REF!</definedName>
    <definedName name="__________________obl173" localSheetId="25">#REF!</definedName>
    <definedName name="__________________obl173" localSheetId="12">#REF!</definedName>
    <definedName name="__________________obl173" localSheetId="14">#REF!</definedName>
    <definedName name="__________________obl173" localSheetId="30">#REF!</definedName>
    <definedName name="__________________obl173" localSheetId="31">#REF!</definedName>
    <definedName name="__________________obl173" localSheetId="32">#REF!</definedName>
    <definedName name="__________________obl173">#REF!</definedName>
    <definedName name="__________________obl174" localSheetId="11">#REF!</definedName>
    <definedName name="__________________obl174" localSheetId="24">#REF!</definedName>
    <definedName name="__________________obl174" localSheetId="25">#REF!</definedName>
    <definedName name="__________________obl174" localSheetId="12">#REF!</definedName>
    <definedName name="__________________obl174" localSheetId="14">#REF!</definedName>
    <definedName name="__________________obl174" localSheetId="30">#REF!</definedName>
    <definedName name="__________________obl174" localSheetId="31">#REF!</definedName>
    <definedName name="__________________obl174" localSheetId="32">#REF!</definedName>
    <definedName name="__________________obl174">#REF!</definedName>
    <definedName name="__________________obl175" localSheetId="11">#REF!</definedName>
    <definedName name="__________________obl175" localSheetId="24">#REF!</definedName>
    <definedName name="__________________obl175" localSheetId="25">#REF!</definedName>
    <definedName name="__________________obl175" localSheetId="12">#REF!</definedName>
    <definedName name="__________________obl175" localSheetId="14">#REF!</definedName>
    <definedName name="__________________obl175" localSheetId="30">#REF!</definedName>
    <definedName name="__________________obl175" localSheetId="31">#REF!</definedName>
    <definedName name="__________________obl175" localSheetId="32">#REF!</definedName>
    <definedName name="__________________obl175">#REF!</definedName>
    <definedName name="__________________obl176" localSheetId="11">#REF!</definedName>
    <definedName name="__________________obl176" localSheetId="24">#REF!</definedName>
    <definedName name="__________________obl176" localSheetId="25">#REF!</definedName>
    <definedName name="__________________obl176" localSheetId="12">#REF!</definedName>
    <definedName name="__________________obl176" localSheetId="14">#REF!</definedName>
    <definedName name="__________________obl176" localSheetId="30">#REF!</definedName>
    <definedName name="__________________obl176" localSheetId="31">#REF!</definedName>
    <definedName name="__________________obl176" localSheetId="32">#REF!</definedName>
    <definedName name="__________________obl176">#REF!</definedName>
    <definedName name="__________________obl177" localSheetId="11">#REF!</definedName>
    <definedName name="__________________obl177" localSheetId="24">#REF!</definedName>
    <definedName name="__________________obl177" localSheetId="25">#REF!</definedName>
    <definedName name="__________________obl177" localSheetId="12">#REF!</definedName>
    <definedName name="__________________obl177" localSheetId="14">#REF!</definedName>
    <definedName name="__________________obl177" localSheetId="30">#REF!</definedName>
    <definedName name="__________________obl177" localSheetId="31">#REF!</definedName>
    <definedName name="__________________obl177" localSheetId="32">#REF!</definedName>
    <definedName name="__________________obl177">#REF!</definedName>
    <definedName name="__________________obl178" localSheetId="11">#REF!</definedName>
    <definedName name="__________________obl178" localSheetId="24">#REF!</definedName>
    <definedName name="__________________obl178" localSheetId="25">#REF!</definedName>
    <definedName name="__________________obl178" localSheetId="12">#REF!</definedName>
    <definedName name="__________________obl178" localSheetId="14">#REF!</definedName>
    <definedName name="__________________obl178" localSheetId="30">#REF!</definedName>
    <definedName name="__________________obl178" localSheetId="31">#REF!</definedName>
    <definedName name="__________________obl178" localSheetId="32">#REF!</definedName>
    <definedName name="__________________obl178">#REF!</definedName>
    <definedName name="__________________obl179" localSheetId="11">#REF!</definedName>
    <definedName name="__________________obl179" localSheetId="24">#REF!</definedName>
    <definedName name="__________________obl179" localSheetId="25">#REF!</definedName>
    <definedName name="__________________obl179" localSheetId="12">#REF!</definedName>
    <definedName name="__________________obl179" localSheetId="14">#REF!</definedName>
    <definedName name="__________________obl179" localSheetId="30">#REF!</definedName>
    <definedName name="__________________obl179" localSheetId="31">#REF!</definedName>
    <definedName name="__________________obl179" localSheetId="32">#REF!</definedName>
    <definedName name="__________________obl179">#REF!</definedName>
    <definedName name="__________________obl18" localSheetId="11">#REF!</definedName>
    <definedName name="__________________obl18" localSheetId="24">#REF!</definedName>
    <definedName name="__________________obl18" localSheetId="25">#REF!</definedName>
    <definedName name="__________________obl18" localSheetId="12">#REF!</definedName>
    <definedName name="__________________obl18" localSheetId="14">#REF!</definedName>
    <definedName name="__________________obl18" localSheetId="30">#REF!</definedName>
    <definedName name="__________________obl18" localSheetId="31">#REF!</definedName>
    <definedName name="__________________obl18" localSheetId="32">#REF!</definedName>
    <definedName name="__________________obl18">#REF!</definedName>
    <definedName name="__________________obl181" localSheetId="11">#REF!</definedName>
    <definedName name="__________________obl181" localSheetId="24">#REF!</definedName>
    <definedName name="__________________obl181" localSheetId="25">#REF!</definedName>
    <definedName name="__________________obl181" localSheetId="12">#REF!</definedName>
    <definedName name="__________________obl181" localSheetId="14">#REF!</definedName>
    <definedName name="__________________obl181" localSheetId="30">#REF!</definedName>
    <definedName name="__________________obl181" localSheetId="31">#REF!</definedName>
    <definedName name="__________________obl181" localSheetId="32">#REF!</definedName>
    <definedName name="__________________obl181">#REF!</definedName>
    <definedName name="__________________obl1816" localSheetId="11">#REF!</definedName>
    <definedName name="__________________obl1816" localSheetId="24">#REF!</definedName>
    <definedName name="__________________obl1816" localSheetId="25">#REF!</definedName>
    <definedName name="__________________obl1816" localSheetId="12">#REF!</definedName>
    <definedName name="__________________obl1816" localSheetId="14">#REF!</definedName>
    <definedName name="__________________obl1816" localSheetId="30">#REF!</definedName>
    <definedName name="__________________obl1816" localSheetId="31">#REF!</definedName>
    <definedName name="__________________obl1816" localSheetId="32">#REF!</definedName>
    <definedName name="__________________obl1816">#REF!</definedName>
    <definedName name="__________________obl1820" localSheetId="11">#REF!</definedName>
    <definedName name="__________________obl1820" localSheetId="24">#REF!</definedName>
    <definedName name="__________________obl1820" localSheetId="25">#REF!</definedName>
    <definedName name="__________________obl1820" localSheetId="12">#REF!</definedName>
    <definedName name="__________________obl1820" localSheetId="14">#REF!</definedName>
    <definedName name="__________________obl1820" localSheetId="30">#REF!</definedName>
    <definedName name="__________________obl1820" localSheetId="31">#REF!</definedName>
    <definedName name="__________________obl1820" localSheetId="32">#REF!</definedName>
    <definedName name="__________________obl1820">#REF!</definedName>
    <definedName name="__________________obl1821" localSheetId="11">#REF!</definedName>
    <definedName name="__________________obl1821" localSheetId="24">#REF!</definedName>
    <definedName name="__________________obl1821" localSheetId="25">#REF!</definedName>
    <definedName name="__________________obl1821" localSheetId="12">#REF!</definedName>
    <definedName name="__________________obl1821" localSheetId="14">#REF!</definedName>
    <definedName name="__________________obl1821" localSheetId="30">#REF!</definedName>
    <definedName name="__________________obl1821" localSheetId="31">#REF!</definedName>
    <definedName name="__________________obl1821" localSheetId="32">#REF!</definedName>
    <definedName name="__________________obl1821">#REF!</definedName>
    <definedName name="__________________obl1822" localSheetId="11">#REF!</definedName>
    <definedName name="__________________obl1822" localSheetId="24">#REF!</definedName>
    <definedName name="__________________obl1822" localSheetId="25">#REF!</definedName>
    <definedName name="__________________obl1822" localSheetId="12">#REF!</definedName>
    <definedName name="__________________obl1822" localSheetId="14">#REF!</definedName>
    <definedName name="__________________obl1822" localSheetId="30">#REF!</definedName>
    <definedName name="__________________obl1822" localSheetId="31">#REF!</definedName>
    <definedName name="__________________obl1822" localSheetId="32">#REF!</definedName>
    <definedName name="__________________obl1822">#REF!</definedName>
    <definedName name="__________________obl1823" localSheetId="11">#REF!</definedName>
    <definedName name="__________________obl1823" localSheetId="24">#REF!</definedName>
    <definedName name="__________________obl1823" localSheetId="25">#REF!</definedName>
    <definedName name="__________________obl1823" localSheetId="12">#REF!</definedName>
    <definedName name="__________________obl1823" localSheetId="14">#REF!</definedName>
    <definedName name="__________________obl1823" localSheetId="30">#REF!</definedName>
    <definedName name="__________________obl1823" localSheetId="31">#REF!</definedName>
    <definedName name="__________________obl1823" localSheetId="32">#REF!</definedName>
    <definedName name="__________________obl1823">#REF!</definedName>
    <definedName name="__________________obl1824" localSheetId="11">#REF!</definedName>
    <definedName name="__________________obl1824" localSheetId="24">#REF!</definedName>
    <definedName name="__________________obl1824" localSheetId="25">#REF!</definedName>
    <definedName name="__________________obl1824" localSheetId="12">#REF!</definedName>
    <definedName name="__________________obl1824" localSheetId="14">#REF!</definedName>
    <definedName name="__________________obl1824" localSheetId="30">#REF!</definedName>
    <definedName name="__________________obl1824" localSheetId="31">#REF!</definedName>
    <definedName name="__________________obl1824" localSheetId="32">#REF!</definedName>
    <definedName name="__________________obl1824">#REF!</definedName>
    <definedName name="__________________obl1825" localSheetId="11">#REF!</definedName>
    <definedName name="__________________obl1825" localSheetId="24">#REF!</definedName>
    <definedName name="__________________obl1825" localSheetId="25">#REF!</definedName>
    <definedName name="__________________obl1825" localSheetId="12">#REF!</definedName>
    <definedName name="__________________obl1825" localSheetId="14">#REF!</definedName>
    <definedName name="__________________obl1825" localSheetId="30">#REF!</definedName>
    <definedName name="__________________obl1825" localSheetId="31">#REF!</definedName>
    <definedName name="__________________obl1825" localSheetId="32">#REF!</definedName>
    <definedName name="__________________obl1825">#REF!</definedName>
    <definedName name="__________________obl1826" localSheetId="11">#REF!</definedName>
    <definedName name="__________________obl1826" localSheetId="24">#REF!</definedName>
    <definedName name="__________________obl1826" localSheetId="25">#REF!</definedName>
    <definedName name="__________________obl1826" localSheetId="12">#REF!</definedName>
    <definedName name="__________________obl1826" localSheetId="14">#REF!</definedName>
    <definedName name="__________________obl1826" localSheetId="30">#REF!</definedName>
    <definedName name="__________________obl1826" localSheetId="31">#REF!</definedName>
    <definedName name="__________________obl1826" localSheetId="32">#REF!</definedName>
    <definedName name="__________________obl1826">#REF!</definedName>
    <definedName name="__________________obl1827" localSheetId="11">#REF!</definedName>
    <definedName name="__________________obl1827" localSheetId="24">#REF!</definedName>
    <definedName name="__________________obl1827" localSheetId="25">#REF!</definedName>
    <definedName name="__________________obl1827" localSheetId="12">#REF!</definedName>
    <definedName name="__________________obl1827" localSheetId="14">#REF!</definedName>
    <definedName name="__________________obl1827" localSheetId="30">#REF!</definedName>
    <definedName name="__________________obl1827" localSheetId="31">#REF!</definedName>
    <definedName name="__________________obl1827" localSheetId="32">#REF!</definedName>
    <definedName name="__________________obl1827">#REF!</definedName>
    <definedName name="__________________obl1828" localSheetId="11">#REF!</definedName>
    <definedName name="__________________obl1828" localSheetId="24">#REF!</definedName>
    <definedName name="__________________obl1828" localSheetId="25">#REF!</definedName>
    <definedName name="__________________obl1828" localSheetId="12">#REF!</definedName>
    <definedName name="__________________obl1828" localSheetId="14">#REF!</definedName>
    <definedName name="__________________obl1828" localSheetId="30">#REF!</definedName>
    <definedName name="__________________obl1828" localSheetId="31">#REF!</definedName>
    <definedName name="__________________obl1828" localSheetId="32">#REF!</definedName>
    <definedName name="__________________obl1828">#REF!</definedName>
    <definedName name="__________________obl1829" localSheetId="11">#REF!</definedName>
    <definedName name="__________________obl1829" localSheetId="24">#REF!</definedName>
    <definedName name="__________________obl1829" localSheetId="25">#REF!</definedName>
    <definedName name="__________________obl1829" localSheetId="12">#REF!</definedName>
    <definedName name="__________________obl1829" localSheetId="14">#REF!</definedName>
    <definedName name="__________________obl1829" localSheetId="30">#REF!</definedName>
    <definedName name="__________________obl1829" localSheetId="31">#REF!</definedName>
    <definedName name="__________________obl1829" localSheetId="32">#REF!</definedName>
    <definedName name="__________________obl1829">#REF!</definedName>
    <definedName name="__________________obl183" localSheetId="11">#REF!</definedName>
    <definedName name="__________________obl183" localSheetId="24">#REF!</definedName>
    <definedName name="__________________obl183" localSheetId="25">#REF!</definedName>
    <definedName name="__________________obl183" localSheetId="12">#REF!</definedName>
    <definedName name="__________________obl183" localSheetId="14">#REF!</definedName>
    <definedName name="__________________obl183" localSheetId="30">#REF!</definedName>
    <definedName name="__________________obl183" localSheetId="31">#REF!</definedName>
    <definedName name="__________________obl183" localSheetId="32">#REF!</definedName>
    <definedName name="__________________obl183">#REF!</definedName>
    <definedName name="__________________obl1831" localSheetId="11">#REF!</definedName>
    <definedName name="__________________obl1831" localSheetId="24">#REF!</definedName>
    <definedName name="__________________obl1831" localSheetId="25">#REF!</definedName>
    <definedName name="__________________obl1831" localSheetId="12">#REF!</definedName>
    <definedName name="__________________obl1831" localSheetId="14">#REF!</definedName>
    <definedName name="__________________obl1831" localSheetId="30">#REF!</definedName>
    <definedName name="__________________obl1831" localSheetId="31">#REF!</definedName>
    <definedName name="__________________obl1831" localSheetId="32">#REF!</definedName>
    <definedName name="__________________obl1831">#REF!</definedName>
    <definedName name="__________________obl1832" localSheetId="11">#REF!</definedName>
    <definedName name="__________________obl1832" localSheetId="24">#REF!</definedName>
    <definedName name="__________________obl1832" localSheetId="25">#REF!</definedName>
    <definedName name="__________________obl1832" localSheetId="12">#REF!</definedName>
    <definedName name="__________________obl1832" localSheetId="14">#REF!</definedName>
    <definedName name="__________________obl1832" localSheetId="30">#REF!</definedName>
    <definedName name="__________________obl1832" localSheetId="31">#REF!</definedName>
    <definedName name="__________________obl1832" localSheetId="32">#REF!</definedName>
    <definedName name="__________________obl1832">#REF!</definedName>
    <definedName name="__________________obl184" localSheetId="11">#REF!</definedName>
    <definedName name="__________________obl184" localSheetId="24">#REF!</definedName>
    <definedName name="__________________obl184" localSheetId="25">#REF!</definedName>
    <definedName name="__________________obl184" localSheetId="12">#REF!</definedName>
    <definedName name="__________________obl184" localSheetId="14">#REF!</definedName>
    <definedName name="__________________obl184" localSheetId="30">#REF!</definedName>
    <definedName name="__________________obl184" localSheetId="31">#REF!</definedName>
    <definedName name="__________________obl184" localSheetId="32">#REF!</definedName>
    <definedName name="__________________obl184">#REF!</definedName>
    <definedName name="__________________obl185" localSheetId="11">#REF!</definedName>
    <definedName name="__________________obl185" localSheetId="24">#REF!</definedName>
    <definedName name="__________________obl185" localSheetId="25">#REF!</definedName>
    <definedName name="__________________obl185" localSheetId="12">#REF!</definedName>
    <definedName name="__________________obl185" localSheetId="14">#REF!</definedName>
    <definedName name="__________________obl185" localSheetId="30">#REF!</definedName>
    <definedName name="__________________obl185" localSheetId="31">#REF!</definedName>
    <definedName name="__________________obl185" localSheetId="32">#REF!</definedName>
    <definedName name="__________________obl185">#REF!</definedName>
    <definedName name="__________________obl186" localSheetId="11">#REF!</definedName>
    <definedName name="__________________obl186" localSheetId="24">#REF!</definedName>
    <definedName name="__________________obl186" localSheetId="25">#REF!</definedName>
    <definedName name="__________________obl186" localSheetId="12">#REF!</definedName>
    <definedName name="__________________obl186" localSheetId="14">#REF!</definedName>
    <definedName name="__________________obl186" localSheetId="30">#REF!</definedName>
    <definedName name="__________________obl186" localSheetId="31">#REF!</definedName>
    <definedName name="__________________obl186" localSheetId="32">#REF!</definedName>
    <definedName name="__________________obl186">#REF!</definedName>
    <definedName name="__________________obl187" localSheetId="11">#REF!</definedName>
    <definedName name="__________________obl187" localSheetId="24">#REF!</definedName>
    <definedName name="__________________obl187" localSheetId="25">#REF!</definedName>
    <definedName name="__________________obl187" localSheetId="12">#REF!</definedName>
    <definedName name="__________________obl187" localSheetId="14">#REF!</definedName>
    <definedName name="__________________obl187" localSheetId="30">#REF!</definedName>
    <definedName name="__________________obl187" localSheetId="31">#REF!</definedName>
    <definedName name="__________________obl187" localSheetId="32">#REF!</definedName>
    <definedName name="__________________obl187">#REF!</definedName>
    <definedName name="_________________obl11" localSheetId="25">#REF!</definedName>
    <definedName name="_________________obl11" localSheetId="19">#REF!</definedName>
    <definedName name="_________________obl11" localSheetId="30">#REF!</definedName>
    <definedName name="_________________obl11">#REF!</definedName>
    <definedName name="_________________obl12" localSheetId="25">#REF!</definedName>
    <definedName name="_________________obl12" localSheetId="19">#REF!</definedName>
    <definedName name="_________________obl12" localSheetId="30">#REF!</definedName>
    <definedName name="_________________obl12">#REF!</definedName>
    <definedName name="_________________obl13" localSheetId="25">#REF!</definedName>
    <definedName name="_________________obl13" localSheetId="19">#REF!</definedName>
    <definedName name="_________________obl13" localSheetId="30">#REF!</definedName>
    <definedName name="_________________obl13">#REF!</definedName>
    <definedName name="_________________obl14" localSheetId="25">#REF!</definedName>
    <definedName name="_________________obl14" localSheetId="19">#REF!</definedName>
    <definedName name="_________________obl14" localSheetId="30">#REF!</definedName>
    <definedName name="_________________obl14">#REF!</definedName>
    <definedName name="_________________obl15" localSheetId="25">#REF!</definedName>
    <definedName name="_________________obl15" localSheetId="19">#REF!</definedName>
    <definedName name="_________________obl15" localSheetId="30">#REF!</definedName>
    <definedName name="_________________obl15">#REF!</definedName>
    <definedName name="_________________obl16" localSheetId="25">#REF!</definedName>
    <definedName name="_________________obl16" localSheetId="19">#REF!</definedName>
    <definedName name="_________________obl16" localSheetId="30">#REF!</definedName>
    <definedName name="_________________obl16">#REF!</definedName>
    <definedName name="_________________obl17" localSheetId="25">#REF!</definedName>
    <definedName name="_________________obl17" localSheetId="19">#REF!</definedName>
    <definedName name="_________________obl17" localSheetId="30">#REF!</definedName>
    <definedName name="_________________obl17">#REF!</definedName>
    <definedName name="_________________obl1710" localSheetId="25">#REF!</definedName>
    <definedName name="_________________obl1710" localSheetId="19">#REF!</definedName>
    <definedName name="_________________obl1710" localSheetId="30">#REF!</definedName>
    <definedName name="_________________obl1710">#REF!</definedName>
    <definedName name="_________________obl1711" localSheetId="25">#REF!</definedName>
    <definedName name="_________________obl1711" localSheetId="19">#REF!</definedName>
    <definedName name="_________________obl1711" localSheetId="30">#REF!</definedName>
    <definedName name="_________________obl1711">#REF!</definedName>
    <definedName name="_________________obl1712" localSheetId="25">#REF!</definedName>
    <definedName name="_________________obl1712" localSheetId="19">#REF!</definedName>
    <definedName name="_________________obl1712" localSheetId="30">#REF!</definedName>
    <definedName name="_________________obl1712">#REF!</definedName>
    <definedName name="_________________obl1713" localSheetId="25">#REF!</definedName>
    <definedName name="_________________obl1713" localSheetId="19">#REF!</definedName>
    <definedName name="_________________obl1713" localSheetId="30">#REF!</definedName>
    <definedName name="_________________obl1713">#REF!</definedName>
    <definedName name="_________________obl1714" localSheetId="25">#REF!</definedName>
    <definedName name="_________________obl1714" localSheetId="19">#REF!</definedName>
    <definedName name="_________________obl1714" localSheetId="30">#REF!</definedName>
    <definedName name="_________________obl1714">#REF!</definedName>
    <definedName name="_________________obl1715" localSheetId="25">#REF!</definedName>
    <definedName name="_________________obl1715" localSheetId="19">#REF!</definedName>
    <definedName name="_________________obl1715" localSheetId="30">#REF!</definedName>
    <definedName name="_________________obl1715">#REF!</definedName>
    <definedName name="_________________obl1716" localSheetId="25">#REF!</definedName>
    <definedName name="_________________obl1716" localSheetId="19">#REF!</definedName>
    <definedName name="_________________obl1716" localSheetId="30">#REF!</definedName>
    <definedName name="_________________obl1716">#REF!</definedName>
    <definedName name="_________________obl1717" localSheetId="25">#REF!</definedName>
    <definedName name="_________________obl1717" localSheetId="19">#REF!</definedName>
    <definedName name="_________________obl1717" localSheetId="30">#REF!</definedName>
    <definedName name="_________________obl1717">#REF!</definedName>
    <definedName name="_________________obl1718" localSheetId="25">#REF!</definedName>
    <definedName name="_________________obl1718" localSheetId="19">#REF!</definedName>
    <definedName name="_________________obl1718" localSheetId="30">#REF!</definedName>
    <definedName name="_________________obl1718">#REF!</definedName>
    <definedName name="_________________obl1719" localSheetId="25">#REF!</definedName>
    <definedName name="_________________obl1719" localSheetId="19">#REF!</definedName>
    <definedName name="_________________obl1719" localSheetId="30">#REF!</definedName>
    <definedName name="_________________obl1719">#REF!</definedName>
    <definedName name="_________________obl173" localSheetId="25">#REF!</definedName>
    <definedName name="_________________obl173" localSheetId="19">#REF!</definedName>
    <definedName name="_________________obl173" localSheetId="30">#REF!</definedName>
    <definedName name="_________________obl173">#REF!</definedName>
    <definedName name="_________________obl174" localSheetId="25">#REF!</definedName>
    <definedName name="_________________obl174" localSheetId="19">#REF!</definedName>
    <definedName name="_________________obl174" localSheetId="30">#REF!</definedName>
    <definedName name="_________________obl174">#REF!</definedName>
    <definedName name="_________________obl175" localSheetId="25">#REF!</definedName>
    <definedName name="_________________obl175" localSheetId="19">#REF!</definedName>
    <definedName name="_________________obl175" localSheetId="30">#REF!</definedName>
    <definedName name="_________________obl175">#REF!</definedName>
    <definedName name="_________________obl176" localSheetId="25">#REF!</definedName>
    <definedName name="_________________obl176" localSheetId="19">#REF!</definedName>
    <definedName name="_________________obl176" localSheetId="30">#REF!</definedName>
    <definedName name="_________________obl176">#REF!</definedName>
    <definedName name="_________________obl177" localSheetId="25">#REF!</definedName>
    <definedName name="_________________obl177" localSheetId="19">#REF!</definedName>
    <definedName name="_________________obl177" localSheetId="30">#REF!</definedName>
    <definedName name="_________________obl177">#REF!</definedName>
    <definedName name="_________________obl178" localSheetId="25">#REF!</definedName>
    <definedName name="_________________obl178" localSheetId="19">#REF!</definedName>
    <definedName name="_________________obl178" localSheetId="30">#REF!</definedName>
    <definedName name="_________________obl178">#REF!</definedName>
    <definedName name="_________________obl179" localSheetId="25">#REF!</definedName>
    <definedName name="_________________obl179" localSheetId="19">#REF!</definedName>
    <definedName name="_________________obl179" localSheetId="30">#REF!</definedName>
    <definedName name="_________________obl179">#REF!</definedName>
    <definedName name="_________________obl18" localSheetId="25">#REF!</definedName>
    <definedName name="_________________obl18" localSheetId="19">#REF!</definedName>
    <definedName name="_________________obl18" localSheetId="30">#REF!</definedName>
    <definedName name="_________________obl18">#REF!</definedName>
    <definedName name="_________________obl181" localSheetId="25">#REF!</definedName>
    <definedName name="_________________obl181" localSheetId="19">#REF!</definedName>
    <definedName name="_________________obl181" localSheetId="30">#REF!</definedName>
    <definedName name="_________________obl181">#REF!</definedName>
    <definedName name="_________________obl1816" localSheetId="25">#REF!</definedName>
    <definedName name="_________________obl1816" localSheetId="19">#REF!</definedName>
    <definedName name="_________________obl1816" localSheetId="30">#REF!</definedName>
    <definedName name="_________________obl1816">#REF!</definedName>
    <definedName name="_________________obl1820" localSheetId="25">#REF!</definedName>
    <definedName name="_________________obl1820" localSheetId="19">#REF!</definedName>
    <definedName name="_________________obl1820" localSheetId="30">#REF!</definedName>
    <definedName name="_________________obl1820">#REF!</definedName>
    <definedName name="_________________obl1821" localSheetId="25">#REF!</definedName>
    <definedName name="_________________obl1821" localSheetId="19">#REF!</definedName>
    <definedName name="_________________obl1821" localSheetId="30">#REF!</definedName>
    <definedName name="_________________obl1821">#REF!</definedName>
    <definedName name="_________________obl1822" localSheetId="25">#REF!</definedName>
    <definedName name="_________________obl1822" localSheetId="19">#REF!</definedName>
    <definedName name="_________________obl1822" localSheetId="30">#REF!</definedName>
    <definedName name="_________________obl1822">#REF!</definedName>
    <definedName name="_________________obl1823" localSheetId="25">#REF!</definedName>
    <definedName name="_________________obl1823" localSheetId="19">#REF!</definedName>
    <definedName name="_________________obl1823" localSheetId="30">#REF!</definedName>
    <definedName name="_________________obl1823">#REF!</definedName>
    <definedName name="_________________obl1824" localSheetId="25">#REF!</definedName>
    <definedName name="_________________obl1824" localSheetId="19">#REF!</definedName>
    <definedName name="_________________obl1824" localSheetId="30">#REF!</definedName>
    <definedName name="_________________obl1824">#REF!</definedName>
    <definedName name="_________________obl1825" localSheetId="25">#REF!</definedName>
    <definedName name="_________________obl1825" localSheetId="19">#REF!</definedName>
    <definedName name="_________________obl1825" localSheetId="30">#REF!</definedName>
    <definedName name="_________________obl1825">#REF!</definedName>
    <definedName name="_________________obl1826" localSheetId="25">#REF!</definedName>
    <definedName name="_________________obl1826" localSheetId="19">#REF!</definedName>
    <definedName name="_________________obl1826" localSheetId="30">#REF!</definedName>
    <definedName name="_________________obl1826">#REF!</definedName>
    <definedName name="_________________obl1827" localSheetId="25">#REF!</definedName>
    <definedName name="_________________obl1827" localSheetId="19">#REF!</definedName>
    <definedName name="_________________obl1827" localSheetId="30">#REF!</definedName>
    <definedName name="_________________obl1827">#REF!</definedName>
    <definedName name="_________________obl1828" localSheetId="25">#REF!</definedName>
    <definedName name="_________________obl1828" localSheetId="19">#REF!</definedName>
    <definedName name="_________________obl1828" localSheetId="30">#REF!</definedName>
    <definedName name="_________________obl1828">#REF!</definedName>
    <definedName name="_________________obl1829" localSheetId="25">#REF!</definedName>
    <definedName name="_________________obl1829" localSheetId="19">#REF!</definedName>
    <definedName name="_________________obl1829" localSheetId="30">#REF!</definedName>
    <definedName name="_________________obl1829">#REF!</definedName>
    <definedName name="_________________obl183" localSheetId="25">#REF!</definedName>
    <definedName name="_________________obl183" localSheetId="19">#REF!</definedName>
    <definedName name="_________________obl183" localSheetId="30">#REF!</definedName>
    <definedName name="_________________obl183">#REF!</definedName>
    <definedName name="_________________obl1831" localSheetId="25">#REF!</definedName>
    <definedName name="_________________obl1831" localSheetId="19">#REF!</definedName>
    <definedName name="_________________obl1831" localSheetId="30">#REF!</definedName>
    <definedName name="_________________obl1831">#REF!</definedName>
    <definedName name="_________________obl1832" localSheetId="25">#REF!</definedName>
    <definedName name="_________________obl1832" localSheetId="19">#REF!</definedName>
    <definedName name="_________________obl1832" localSheetId="30">#REF!</definedName>
    <definedName name="_________________obl1832">#REF!</definedName>
    <definedName name="_________________obl184" localSheetId="25">#REF!</definedName>
    <definedName name="_________________obl184" localSheetId="19">#REF!</definedName>
    <definedName name="_________________obl184" localSheetId="30">#REF!</definedName>
    <definedName name="_________________obl184">#REF!</definedName>
    <definedName name="_________________obl185" localSheetId="25">#REF!</definedName>
    <definedName name="_________________obl185" localSheetId="19">#REF!</definedName>
    <definedName name="_________________obl185" localSheetId="30">#REF!</definedName>
    <definedName name="_________________obl185">#REF!</definedName>
    <definedName name="_________________obl186" localSheetId="25">#REF!</definedName>
    <definedName name="_________________obl186" localSheetId="19">#REF!</definedName>
    <definedName name="_________________obl186" localSheetId="30">#REF!</definedName>
    <definedName name="_________________obl186">#REF!</definedName>
    <definedName name="_________________obl187" localSheetId="25">#REF!</definedName>
    <definedName name="_________________obl187" localSheetId="19">#REF!</definedName>
    <definedName name="_________________obl187" localSheetId="30">#REF!</definedName>
    <definedName name="_________________obl187">#REF!</definedName>
    <definedName name="________________obl11" localSheetId="11">#REF!</definedName>
    <definedName name="________________obl11" localSheetId="24">#REF!</definedName>
    <definedName name="________________obl11" localSheetId="25">#REF!</definedName>
    <definedName name="________________obl11" localSheetId="12">#REF!</definedName>
    <definedName name="________________obl11" localSheetId="14">#REF!</definedName>
    <definedName name="________________obl11" localSheetId="30">#REF!</definedName>
    <definedName name="________________obl11" localSheetId="31">#REF!</definedName>
    <definedName name="________________obl11" localSheetId="32">#REF!</definedName>
    <definedName name="________________obl11">#REF!</definedName>
    <definedName name="________________obl12" localSheetId="11">#REF!</definedName>
    <definedName name="________________obl12" localSheetId="24">#REF!</definedName>
    <definedName name="________________obl12" localSheetId="25">#REF!</definedName>
    <definedName name="________________obl12" localSheetId="12">#REF!</definedName>
    <definedName name="________________obl12" localSheetId="14">#REF!</definedName>
    <definedName name="________________obl12" localSheetId="30">#REF!</definedName>
    <definedName name="________________obl12" localSheetId="31">#REF!</definedName>
    <definedName name="________________obl12" localSheetId="32">#REF!</definedName>
    <definedName name="________________obl12">#REF!</definedName>
    <definedName name="________________obl13" localSheetId="11">#REF!</definedName>
    <definedName name="________________obl13" localSheetId="24">#REF!</definedName>
    <definedName name="________________obl13" localSheetId="25">#REF!</definedName>
    <definedName name="________________obl13" localSheetId="12">#REF!</definedName>
    <definedName name="________________obl13" localSheetId="14">#REF!</definedName>
    <definedName name="________________obl13" localSheetId="30">#REF!</definedName>
    <definedName name="________________obl13" localSheetId="31">#REF!</definedName>
    <definedName name="________________obl13" localSheetId="32">#REF!</definedName>
    <definedName name="________________obl13">#REF!</definedName>
    <definedName name="________________obl14" localSheetId="11">#REF!</definedName>
    <definedName name="________________obl14" localSheetId="24">#REF!</definedName>
    <definedName name="________________obl14" localSheetId="25">#REF!</definedName>
    <definedName name="________________obl14" localSheetId="12">#REF!</definedName>
    <definedName name="________________obl14" localSheetId="14">#REF!</definedName>
    <definedName name="________________obl14" localSheetId="30">#REF!</definedName>
    <definedName name="________________obl14" localSheetId="31">#REF!</definedName>
    <definedName name="________________obl14" localSheetId="32">#REF!</definedName>
    <definedName name="________________obl14">#REF!</definedName>
    <definedName name="________________obl15" localSheetId="11">#REF!</definedName>
    <definedName name="________________obl15" localSheetId="24">#REF!</definedName>
    <definedName name="________________obl15" localSheetId="25">#REF!</definedName>
    <definedName name="________________obl15" localSheetId="12">#REF!</definedName>
    <definedName name="________________obl15" localSheetId="14">#REF!</definedName>
    <definedName name="________________obl15" localSheetId="30">#REF!</definedName>
    <definedName name="________________obl15" localSheetId="31">#REF!</definedName>
    <definedName name="________________obl15" localSheetId="32">#REF!</definedName>
    <definedName name="________________obl15">#REF!</definedName>
    <definedName name="________________obl16" localSheetId="11">#REF!</definedName>
    <definedName name="________________obl16" localSheetId="24">#REF!</definedName>
    <definedName name="________________obl16" localSheetId="25">#REF!</definedName>
    <definedName name="________________obl16" localSheetId="12">#REF!</definedName>
    <definedName name="________________obl16" localSheetId="14">#REF!</definedName>
    <definedName name="________________obl16" localSheetId="30">#REF!</definedName>
    <definedName name="________________obl16" localSheetId="31">#REF!</definedName>
    <definedName name="________________obl16" localSheetId="32">#REF!</definedName>
    <definedName name="________________obl16">#REF!</definedName>
    <definedName name="________________obl17" localSheetId="11">#REF!</definedName>
    <definedName name="________________obl17" localSheetId="24">#REF!</definedName>
    <definedName name="________________obl17" localSheetId="25">#REF!</definedName>
    <definedName name="________________obl17" localSheetId="12">#REF!</definedName>
    <definedName name="________________obl17" localSheetId="14">#REF!</definedName>
    <definedName name="________________obl17" localSheetId="30">#REF!</definedName>
    <definedName name="________________obl17" localSheetId="31">#REF!</definedName>
    <definedName name="________________obl17" localSheetId="32">#REF!</definedName>
    <definedName name="________________obl17">#REF!</definedName>
    <definedName name="________________obl1710" localSheetId="11">#REF!</definedName>
    <definedName name="________________obl1710" localSheetId="24">#REF!</definedName>
    <definedName name="________________obl1710" localSheetId="25">#REF!</definedName>
    <definedName name="________________obl1710" localSheetId="12">#REF!</definedName>
    <definedName name="________________obl1710" localSheetId="14">#REF!</definedName>
    <definedName name="________________obl1710" localSheetId="30">#REF!</definedName>
    <definedName name="________________obl1710" localSheetId="31">#REF!</definedName>
    <definedName name="________________obl1710" localSheetId="32">#REF!</definedName>
    <definedName name="________________obl1710">#REF!</definedName>
    <definedName name="________________obl1711" localSheetId="11">#REF!</definedName>
    <definedName name="________________obl1711" localSheetId="24">#REF!</definedName>
    <definedName name="________________obl1711" localSheetId="25">#REF!</definedName>
    <definedName name="________________obl1711" localSheetId="12">#REF!</definedName>
    <definedName name="________________obl1711" localSheetId="14">#REF!</definedName>
    <definedName name="________________obl1711" localSheetId="30">#REF!</definedName>
    <definedName name="________________obl1711" localSheetId="31">#REF!</definedName>
    <definedName name="________________obl1711" localSheetId="32">#REF!</definedName>
    <definedName name="________________obl1711">#REF!</definedName>
    <definedName name="________________obl1712" localSheetId="11">#REF!</definedName>
    <definedName name="________________obl1712" localSheetId="24">#REF!</definedName>
    <definedName name="________________obl1712" localSheetId="25">#REF!</definedName>
    <definedName name="________________obl1712" localSheetId="12">#REF!</definedName>
    <definedName name="________________obl1712" localSheetId="14">#REF!</definedName>
    <definedName name="________________obl1712" localSheetId="30">#REF!</definedName>
    <definedName name="________________obl1712" localSheetId="31">#REF!</definedName>
    <definedName name="________________obl1712" localSheetId="32">#REF!</definedName>
    <definedName name="________________obl1712">#REF!</definedName>
    <definedName name="________________obl1713" localSheetId="11">#REF!</definedName>
    <definedName name="________________obl1713" localSheetId="24">#REF!</definedName>
    <definedName name="________________obl1713" localSheetId="25">#REF!</definedName>
    <definedName name="________________obl1713" localSheetId="12">#REF!</definedName>
    <definedName name="________________obl1713" localSheetId="14">#REF!</definedName>
    <definedName name="________________obl1713" localSheetId="30">#REF!</definedName>
    <definedName name="________________obl1713" localSheetId="31">#REF!</definedName>
    <definedName name="________________obl1713" localSheetId="32">#REF!</definedName>
    <definedName name="________________obl1713">#REF!</definedName>
    <definedName name="________________obl1714" localSheetId="11">#REF!</definedName>
    <definedName name="________________obl1714" localSheetId="24">#REF!</definedName>
    <definedName name="________________obl1714" localSheetId="25">#REF!</definedName>
    <definedName name="________________obl1714" localSheetId="12">#REF!</definedName>
    <definedName name="________________obl1714" localSheetId="14">#REF!</definedName>
    <definedName name="________________obl1714" localSheetId="30">#REF!</definedName>
    <definedName name="________________obl1714" localSheetId="31">#REF!</definedName>
    <definedName name="________________obl1714" localSheetId="32">#REF!</definedName>
    <definedName name="________________obl1714">#REF!</definedName>
    <definedName name="________________obl1715" localSheetId="11">#REF!</definedName>
    <definedName name="________________obl1715" localSheetId="24">#REF!</definedName>
    <definedName name="________________obl1715" localSheetId="25">#REF!</definedName>
    <definedName name="________________obl1715" localSheetId="12">#REF!</definedName>
    <definedName name="________________obl1715" localSheetId="14">#REF!</definedName>
    <definedName name="________________obl1715" localSheetId="30">#REF!</definedName>
    <definedName name="________________obl1715" localSheetId="31">#REF!</definedName>
    <definedName name="________________obl1715" localSheetId="32">#REF!</definedName>
    <definedName name="________________obl1715">#REF!</definedName>
    <definedName name="________________obl1716" localSheetId="11">#REF!</definedName>
    <definedName name="________________obl1716" localSheetId="24">#REF!</definedName>
    <definedName name="________________obl1716" localSheetId="25">#REF!</definedName>
    <definedName name="________________obl1716" localSheetId="12">#REF!</definedName>
    <definedName name="________________obl1716" localSheetId="14">#REF!</definedName>
    <definedName name="________________obl1716" localSheetId="30">#REF!</definedName>
    <definedName name="________________obl1716" localSheetId="31">#REF!</definedName>
    <definedName name="________________obl1716" localSheetId="32">#REF!</definedName>
    <definedName name="________________obl1716">#REF!</definedName>
    <definedName name="________________obl1717" localSheetId="11">#REF!</definedName>
    <definedName name="________________obl1717" localSheetId="24">#REF!</definedName>
    <definedName name="________________obl1717" localSheetId="25">#REF!</definedName>
    <definedName name="________________obl1717" localSheetId="12">#REF!</definedName>
    <definedName name="________________obl1717" localSheetId="14">#REF!</definedName>
    <definedName name="________________obl1717" localSheetId="30">#REF!</definedName>
    <definedName name="________________obl1717" localSheetId="31">#REF!</definedName>
    <definedName name="________________obl1717" localSheetId="32">#REF!</definedName>
    <definedName name="________________obl1717">#REF!</definedName>
    <definedName name="________________obl1718" localSheetId="11">#REF!</definedName>
    <definedName name="________________obl1718" localSheetId="24">#REF!</definedName>
    <definedName name="________________obl1718" localSheetId="25">#REF!</definedName>
    <definedName name="________________obl1718" localSheetId="12">#REF!</definedName>
    <definedName name="________________obl1718" localSheetId="14">#REF!</definedName>
    <definedName name="________________obl1718" localSheetId="30">#REF!</definedName>
    <definedName name="________________obl1718" localSheetId="31">#REF!</definedName>
    <definedName name="________________obl1718" localSheetId="32">#REF!</definedName>
    <definedName name="________________obl1718">#REF!</definedName>
    <definedName name="________________obl1719" localSheetId="11">#REF!</definedName>
    <definedName name="________________obl1719" localSheetId="24">#REF!</definedName>
    <definedName name="________________obl1719" localSheetId="25">#REF!</definedName>
    <definedName name="________________obl1719" localSheetId="12">#REF!</definedName>
    <definedName name="________________obl1719" localSheetId="14">#REF!</definedName>
    <definedName name="________________obl1719" localSheetId="30">#REF!</definedName>
    <definedName name="________________obl1719" localSheetId="31">#REF!</definedName>
    <definedName name="________________obl1719" localSheetId="32">#REF!</definedName>
    <definedName name="________________obl1719">#REF!</definedName>
    <definedName name="________________obl173" localSheetId="11">#REF!</definedName>
    <definedName name="________________obl173" localSheetId="24">#REF!</definedName>
    <definedName name="________________obl173" localSheetId="25">#REF!</definedName>
    <definedName name="________________obl173" localSheetId="12">#REF!</definedName>
    <definedName name="________________obl173" localSheetId="14">#REF!</definedName>
    <definedName name="________________obl173" localSheetId="30">#REF!</definedName>
    <definedName name="________________obl173" localSheetId="31">#REF!</definedName>
    <definedName name="________________obl173" localSheetId="32">#REF!</definedName>
    <definedName name="________________obl173">#REF!</definedName>
    <definedName name="________________obl174" localSheetId="11">#REF!</definedName>
    <definedName name="________________obl174" localSheetId="24">#REF!</definedName>
    <definedName name="________________obl174" localSheetId="25">#REF!</definedName>
    <definedName name="________________obl174" localSheetId="12">#REF!</definedName>
    <definedName name="________________obl174" localSheetId="14">#REF!</definedName>
    <definedName name="________________obl174" localSheetId="30">#REF!</definedName>
    <definedName name="________________obl174" localSheetId="31">#REF!</definedName>
    <definedName name="________________obl174" localSheetId="32">#REF!</definedName>
    <definedName name="________________obl174">#REF!</definedName>
    <definedName name="________________obl175" localSheetId="11">#REF!</definedName>
    <definedName name="________________obl175" localSheetId="24">#REF!</definedName>
    <definedName name="________________obl175" localSheetId="25">#REF!</definedName>
    <definedName name="________________obl175" localSheetId="12">#REF!</definedName>
    <definedName name="________________obl175" localSheetId="14">#REF!</definedName>
    <definedName name="________________obl175" localSheetId="30">#REF!</definedName>
    <definedName name="________________obl175" localSheetId="31">#REF!</definedName>
    <definedName name="________________obl175" localSheetId="32">#REF!</definedName>
    <definedName name="________________obl175">#REF!</definedName>
    <definedName name="________________obl176" localSheetId="11">#REF!</definedName>
    <definedName name="________________obl176" localSheetId="24">#REF!</definedName>
    <definedName name="________________obl176" localSheetId="25">#REF!</definedName>
    <definedName name="________________obl176" localSheetId="12">#REF!</definedName>
    <definedName name="________________obl176" localSheetId="14">#REF!</definedName>
    <definedName name="________________obl176" localSheetId="30">#REF!</definedName>
    <definedName name="________________obl176" localSheetId="31">#REF!</definedName>
    <definedName name="________________obl176" localSheetId="32">#REF!</definedName>
    <definedName name="________________obl176">#REF!</definedName>
    <definedName name="________________obl177" localSheetId="11">#REF!</definedName>
    <definedName name="________________obl177" localSheetId="24">#REF!</definedName>
    <definedName name="________________obl177" localSheetId="25">#REF!</definedName>
    <definedName name="________________obl177" localSheetId="12">#REF!</definedName>
    <definedName name="________________obl177" localSheetId="14">#REF!</definedName>
    <definedName name="________________obl177" localSheetId="30">#REF!</definedName>
    <definedName name="________________obl177" localSheetId="31">#REF!</definedName>
    <definedName name="________________obl177" localSheetId="32">#REF!</definedName>
    <definedName name="________________obl177">#REF!</definedName>
    <definedName name="________________obl178" localSheetId="11">#REF!</definedName>
    <definedName name="________________obl178" localSheetId="24">#REF!</definedName>
    <definedName name="________________obl178" localSheetId="25">#REF!</definedName>
    <definedName name="________________obl178" localSheetId="12">#REF!</definedName>
    <definedName name="________________obl178" localSheetId="14">#REF!</definedName>
    <definedName name="________________obl178" localSheetId="30">#REF!</definedName>
    <definedName name="________________obl178" localSheetId="31">#REF!</definedName>
    <definedName name="________________obl178" localSheetId="32">#REF!</definedName>
    <definedName name="________________obl178">#REF!</definedName>
    <definedName name="________________obl179" localSheetId="11">#REF!</definedName>
    <definedName name="________________obl179" localSheetId="24">#REF!</definedName>
    <definedName name="________________obl179" localSheetId="25">#REF!</definedName>
    <definedName name="________________obl179" localSheetId="12">#REF!</definedName>
    <definedName name="________________obl179" localSheetId="14">#REF!</definedName>
    <definedName name="________________obl179" localSheetId="30">#REF!</definedName>
    <definedName name="________________obl179" localSheetId="31">#REF!</definedName>
    <definedName name="________________obl179" localSheetId="32">#REF!</definedName>
    <definedName name="________________obl179">#REF!</definedName>
    <definedName name="________________obl18" localSheetId="11">#REF!</definedName>
    <definedName name="________________obl18" localSheetId="24">#REF!</definedName>
    <definedName name="________________obl18" localSheetId="25">#REF!</definedName>
    <definedName name="________________obl18" localSheetId="12">#REF!</definedName>
    <definedName name="________________obl18" localSheetId="14">#REF!</definedName>
    <definedName name="________________obl18" localSheetId="30">#REF!</definedName>
    <definedName name="________________obl18" localSheetId="31">#REF!</definedName>
    <definedName name="________________obl18" localSheetId="32">#REF!</definedName>
    <definedName name="________________obl18">#REF!</definedName>
    <definedName name="________________obl181" localSheetId="11">#REF!</definedName>
    <definedName name="________________obl181" localSheetId="24">#REF!</definedName>
    <definedName name="________________obl181" localSheetId="25">#REF!</definedName>
    <definedName name="________________obl181" localSheetId="12">#REF!</definedName>
    <definedName name="________________obl181" localSheetId="14">#REF!</definedName>
    <definedName name="________________obl181" localSheetId="30">#REF!</definedName>
    <definedName name="________________obl181" localSheetId="31">#REF!</definedName>
    <definedName name="________________obl181" localSheetId="32">#REF!</definedName>
    <definedName name="________________obl181">#REF!</definedName>
    <definedName name="________________obl1816" localSheetId="11">#REF!</definedName>
    <definedName name="________________obl1816" localSheetId="24">#REF!</definedName>
    <definedName name="________________obl1816" localSheetId="25">#REF!</definedName>
    <definedName name="________________obl1816" localSheetId="12">#REF!</definedName>
    <definedName name="________________obl1816" localSheetId="14">#REF!</definedName>
    <definedName name="________________obl1816" localSheetId="30">#REF!</definedName>
    <definedName name="________________obl1816" localSheetId="31">#REF!</definedName>
    <definedName name="________________obl1816" localSheetId="32">#REF!</definedName>
    <definedName name="________________obl1816">#REF!</definedName>
    <definedName name="________________obl1820" localSheetId="11">#REF!</definedName>
    <definedName name="________________obl1820" localSheetId="24">#REF!</definedName>
    <definedName name="________________obl1820" localSheetId="25">#REF!</definedName>
    <definedName name="________________obl1820" localSheetId="12">#REF!</definedName>
    <definedName name="________________obl1820" localSheetId="14">#REF!</definedName>
    <definedName name="________________obl1820" localSheetId="30">#REF!</definedName>
    <definedName name="________________obl1820" localSheetId="31">#REF!</definedName>
    <definedName name="________________obl1820" localSheetId="32">#REF!</definedName>
    <definedName name="________________obl1820">#REF!</definedName>
    <definedName name="________________obl1821" localSheetId="11">#REF!</definedName>
    <definedName name="________________obl1821" localSheetId="24">#REF!</definedName>
    <definedName name="________________obl1821" localSheetId="25">#REF!</definedName>
    <definedName name="________________obl1821" localSheetId="12">#REF!</definedName>
    <definedName name="________________obl1821" localSheetId="14">#REF!</definedName>
    <definedName name="________________obl1821" localSheetId="30">#REF!</definedName>
    <definedName name="________________obl1821" localSheetId="31">#REF!</definedName>
    <definedName name="________________obl1821" localSheetId="32">#REF!</definedName>
    <definedName name="________________obl1821">#REF!</definedName>
    <definedName name="________________obl1822" localSheetId="11">#REF!</definedName>
    <definedName name="________________obl1822" localSheetId="24">#REF!</definedName>
    <definedName name="________________obl1822" localSheetId="25">#REF!</definedName>
    <definedName name="________________obl1822" localSheetId="12">#REF!</definedName>
    <definedName name="________________obl1822" localSheetId="14">#REF!</definedName>
    <definedName name="________________obl1822" localSheetId="30">#REF!</definedName>
    <definedName name="________________obl1822" localSheetId="31">#REF!</definedName>
    <definedName name="________________obl1822" localSheetId="32">#REF!</definedName>
    <definedName name="________________obl1822">#REF!</definedName>
    <definedName name="________________obl1823" localSheetId="11">#REF!</definedName>
    <definedName name="________________obl1823" localSheetId="24">#REF!</definedName>
    <definedName name="________________obl1823" localSheetId="25">#REF!</definedName>
    <definedName name="________________obl1823" localSheetId="12">#REF!</definedName>
    <definedName name="________________obl1823" localSheetId="14">#REF!</definedName>
    <definedName name="________________obl1823" localSheetId="30">#REF!</definedName>
    <definedName name="________________obl1823" localSheetId="31">#REF!</definedName>
    <definedName name="________________obl1823" localSheetId="32">#REF!</definedName>
    <definedName name="________________obl1823">#REF!</definedName>
    <definedName name="________________obl1824" localSheetId="11">#REF!</definedName>
    <definedName name="________________obl1824" localSheetId="24">#REF!</definedName>
    <definedName name="________________obl1824" localSheetId="25">#REF!</definedName>
    <definedName name="________________obl1824" localSheetId="12">#REF!</definedName>
    <definedName name="________________obl1824" localSheetId="14">#REF!</definedName>
    <definedName name="________________obl1824" localSheetId="30">#REF!</definedName>
    <definedName name="________________obl1824" localSheetId="31">#REF!</definedName>
    <definedName name="________________obl1824" localSheetId="32">#REF!</definedName>
    <definedName name="________________obl1824">#REF!</definedName>
    <definedName name="________________obl1825" localSheetId="11">#REF!</definedName>
    <definedName name="________________obl1825" localSheetId="24">#REF!</definedName>
    <definedName name="________________obl1825" localSheetId="25">#REF!</definedName>
    <definedName name="________________obl1825" localSheetId="12">#REF!</definedName>
    <definedName name="________________obl1825" localSheetId="14">#REF!</definedName>
    <definedName name="________________obl1825" localSheetId="30">#REF!</definedName>
    <definedName name="________________obl1825" localSheetId="31">#REF!</definedName>
    <definedName name="________________obl1825" localSheetId="32">#REF!</definedName>
    <definedName name="________________obl1825">#REF!</definedName>
    <definedName name="________________obl1826" localSheetId="11">#REF!</definedName>
    <definedName name="________________obl1826" localSheetId="24">#REF!</definedName>
    <definedName name="________________obl1826" localSheetId="25">#REF!</definedName>
    <definedName name="________________obl1826" localSheetId="12">#REF!</definedName>
    <definedName name="________________obl1826" localSheetId="14">#REF!</definedName>
    <definedName name="________________obl1826" localSheetId="30">#REF!</definedName>
    <definedName name="________________obl1826" localSheetId="31">#REF!</definedName>
    <definedName name="________________obl1826" localSheetId="32">#REF!</definedName>
    <definedName name="________________obl1826">#REF!</definedName>
    <definedName name="________________obl1827" localSheetId="11">#REF!</definedName>
    <definedName name="________________obl1827" localSheetId="24">#REF!</definedName>
    <definedName name="________________obl1827" localSheetId="25">#REF!</definedName>
    <definedName name="________________obl1827" localSheetId="12">#REF!</definedName>
    <definedName name="________________obl1827" localSheetId="14">#REF!</definedName>
    <definedName name="________________obl1827" localSheetId="30">#REF!</definedName>
    <definedName name="________________obl1827" localSheetId="31">#REF!</definedName>
    <definedName name="________________obl1827" localSheetId="32">#REF!</definedName>
    <definedName name="________________obl1827">#REF!</definedName>
    <definedName name="________________obl1828" localSheetId="11">#REF!</definedName>
    <definedName name="________________obl1828" localSheetId="24">#REF!</definedName>
    <definedName name="________________obl1828" localSheetId="25">#REF!</definedName>
    <definedName name="________________obl1828" localSheetId="12">#REF!</definedName>
    <definedName name="________________obl1828" localSheetId="14">#REF!</definedName>
    <definedName name="________________obl1828" localSheetId="30">#REF!</definedName>
    <definedName name="________________obl1828" localSheetId="31">#REF!</definedName>
    <definedName name="________________obl1828" localSheetId="32">#REF!</definedName>
    <definedName name="________________obl1828">#REF!</definedName>
    <definedName name="________________obl1829" localSheetId="11">#REF!</definedName>
    <definedName name="________________obl1829" localSheetId="24">#REF!</definedName>
    <definedName name="________________obl1829" localSheetId="25">#REF!</definedName>
    <definedName name="________________obl1829" localSheetId="12">#REF!</definedName>
    <definedName name="________________obl1829" localSheetId="14">#REF!</definedName>
    <definedName name="________________obl1829" localSheetId="30">#REF!</definedName>
    <definedName name="________________obl1829" localSheetId="31">#REF!</definedName>
    <definedName name="________________obl1829" localSheetId="32">#REF!</definedName>
    <definedName name="________________obl1829">#REF!</definedName>
    <definedName name="________________obl183" localSheetId="11">#REF!</definedName>
    <definedName name="________________obl183" localSheetId="24">#REF!</definedName>
    <definedName name="________________obl183" localSheetId="25">#REF!</definedName>
    <definedName name="________________obl183" localSheetId="12">#REF!</definedName>
    <definedName name="________________obl183" localSheetId="14">#REF!</definedName>
    <definedName name="________________obl183" localSheetId="30">#REF!</definedName>
    <definedName name="________________obl183" localSheetId="31">#REF!</definedName>
    <definedName name="________________obl183" localSheetId="32">#REF!</definedName>
    <definedName name="________________obl183">#REF!</definedName>
    <definedName name="________________obl1831" localSheetId="11">#REF!</definedName>
    <definedName name="________________obl1831" localSheetId="24">#REF!</definedName>
    <definedName name="________________obl1831" localSheetId="25">#REF!</definedName>
    <definedName name="________________obl1831" localSheetId="12">#REF!</definedName>
    <definedName name="________________obl1831" localSheetId="14">#REF!</definedName>
    <definedName name="________________obl1831" localSheetId="30">#REF!</definedName>
    <definedName name="________________obl1831" localSheetId="31">#REF!</definedName>
    <definedName name="________________obl1831" localSheetId="32">#REF!</definedName>
    <definedName name="________________obl1831">#REF!</definedName>
    <definedName name="________________obl1832" localSheetId="11">#REF!</definedName>
    <definedName name="________________obl1832" localSheetId="24">#REF!</definedName>
    <definedName name="________________obl1832" localSheetId="25">#REF!</definedName>
    <definedName name="________________obl1832" localSheetId="12">#REF!</definedName>
    <definedName name="________________obl1832" localSheetId="14">#REF!</definedName>
    <definedName name="________________obl1832" localSheetId="30">#REF!</definedName>
    <definedName name="________________obl1832" localSheetId="31">#REF!</definedName>
    <definedName name="________________obl1832" localSheetId="32">#REF!</definedName>
    <definedName name="________________obl1832">#REF!</definedName>
    <definedName name="________________obl184" localSheetId="11">#REF!</definedName>
    <definedName name="________________obl184" localSheetId="24">#REF!</definedName>
    <definedName name="________________obl184" localSheetId="25">#REF!</definedName>
    <definedName name="________________obl184" localSheetId="12">#REF!</definedName>
    <definedName name="________________obl184" localSheetId="14">#REF!</definedName>
    <definedName name="________________obl184" localSheetId="30">#REF!</definedName>
    <definedName name="________________obl184" localSheetId="31">#REF!</definedName>
    <definedName name="________________obl184" localSheetId="32">#REF!</definedName>
    <definedName name="________________obl184">#REF!</definedName>
    <definedName name="________________obl185" localSheetId="11">#REF!</definedName>
    <definedName name="________________obl185" localSheetId="24">#REF!</definedName>
    <definedName name="________________obl185" localSheetId="25">#REF!</definedName>
    <definedName name="________________obl185" localSheetId="12">#REF!</definedName>
    <definedName name="________________obl185" localSheetId="14">#REF!</definedName>
    <definedName name="________________obl185" localSheetId="30">#REF!</definedName>
    <definedName name="________________obl185" localSheetId="31">#REF!</definedName>
    <definedName name="________________obl185" localSheetId="32">#REF!</definedName>
    <definedName name="________________obl185">#REF!</definedName>
    <definedName name="________________obl186" localSheetId="11">#REF!</definedName>
    <definedName name="________________obl186" localSheetId="24">#REF!</definedName>
    <definedName name="________________obl186" localSheetId="25">#REF!</definedName>
    <definedName name="________________obl186" localSheetId="12">#REF!</definedName>
    <definedName name="________________obl186" localSheetId="14">#REF!</definedName>
    <definedName name="________________obl186" localSheetId="30">#REF!</definedName>
    <definedName name="________________obl186" localSheetId="31">#REF!</definedName>
    <definedName name="________________obl186" localSheetId="32">#REF!</definedName>
    <definedName name="________________obl186">#REF!</definedName>
    <definedName name="________________obl187" localSheetId="11">#REF!</definedName>
    <definedName name="________________obl187" localSheetId="24">#REF!</definedName>
    <definedName name="________________obl187" localSheetId="25">#REF!</definedName>
    <definedName name="________________obl187" localSheetId="12">#REF!</definedName>
    <definedName name="________________obl187" localSheetId="14">#REF!</definedName>
    <definedName name="________________obl187" localSheetId="30">#REF!</definedName>
    <definedName name="________________obl187" localSheetId="31">#REF!</definedName>
    <definedName name="________________obl187" localSheetId="32">#REF!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1">#REF!</definedName>
    <definedName name="______________obl11" localSheetId="24">#REF!</definedName>
    <definedName name="______________obl11" localSheetId="25">#REF!</definedName>
    <definedName name="______________obl11" localSheetId="12">#REF!</definedName>
    <definedName name="______________obl11" localSheetId="14">#REF!</definedName>
    <definedName name="______________obl11" localSheetId="30">#REF!</definedName>
    <definedName name="______________obl11" localSheetId="31">#REF!</definedName>
    <definedName name="______________obl11" localSheetId="32">#REF!</definedName>
    <definedName name="______________obl11">#REF!</definedName>
    <definedName name="______________obl12" localSheetId="11">#REF!</definedName>
    <definedName name="______________obl12" localSheetId="24">#REF!</definedName>
    <definedName name="______________obl12" localSheetId="25">#REF!</definedName>
    <definedName name="______________obl12" localSheetId="12">#REF!</definedName>
    <definedName name="______________obl12" localSheetId="14">#REF!</definedName>
    <definedName name="______________obl12" localSheetId="30">#REF!</definedName>
    <definedName name="______________obl12" localSheetId="31">#REF!</definedName>
    <definedName name="______________obl12" localSheetId="32">#REF!</definedName>
    <definedName name="______________obl12">#REF!</definedName>
    <definedName name="______________obl13" localSheetId="11">#REF!</definedName>
    <definedName name="______________obl13" localSheetId="24">#REF!</definedName>
    <definedName name="______________obl13" localSheetId="25">#REF!</definedName>
    <definedName name="______________obl13" localSheetId="12">#REF!</definedName>
    <definedName name="______________obl13" localSheetId="14">#REF!</definedName>
    <definedName name="______________obl13" localSheetId="30">#REF!</definedName>
    <definedName name="______________obl13" localSheetId="31">#REF!</definedName>
    <definedName name="______________obl13" localSheetId="32">#REF!</definedName>
    <definedName name="______________obl13">#REF!</definedName>
    <definedName name="______________obl14" localSheetId="11">#REF!</definedName>
    <definedName name="______________obl14" localSheetId="24">#REF!</definedName>
    <definedName name="______________obl14" localSheetId="25">#REF!</definedName>
    <definedName name="______________obl14" localSheetId="12">#REF!</definedName>
    <definedName name="______________obl14" localSheetId="14">#REF!</definedName>
    <definedName name="______________obl14" localSheetId="30">#REF!</definedName>
    <definedName name="______________obl14" localSheetId="31">#REF!</definedName>
    <definedName name="______________obl14" localSheetId="32">#REF!</definedName>
    <definedName name="______________obl14">#REF!</definedName>
    <definedName name="______________obl15" localSheetId="11">#REF!</definedName>
    <definedName name="______________obl15" localSheetId="24">#REF!</definedName>
    <definedName name="______________obl15" localSheetId="25">#REF!</definedName>
    <definedName name="______________obl15" localSheetId="12">#REF!</definedName>
    <definedName name="______________obl15" localSheetId="14">#REF!</definedName>
    <definedName name="______________obl15" localSheetId="30">#REF!</definedName>
    <definedName name="______________obl15" localSheetId="31">#REF!</definedName>
    <definedName name="______________obl15" localSheetId="32">#REF!</definedName>
    <definedName name="______________obl15">#REF!</definedName>
    <definedName name="______________obl16" localSheetId="11">#REF!</definedName>
    <definedName name="______________obl16" localSheetId="24">#REF!</definedName>
    <definedName name="______________obl16" localSheetId="25">#REF!</definedName>
    <definedName name="______________obl16" localSheetId="12">#REF!</definedName>
    <definedName name="______________obl16" localSheetId="14">#REF!</definedName>
    <definedName name="______________obl16" localSheetId="30">#REF!</definedName>
    <definedName name="______________obl16" localSheetId="31">#REF!</definedName>
    <definedName name="______________obl16" localSheetId="32">#REF!</definedName>
    <definedName name="______________obl16">#REF!</definedName>
    <definedName name="______________obl17" localSheetId="11">#REF!</definedName>
    <definedName name="______________obl17" localSheetId="24">#REF!</definedName>
    <definedName name="______________obl17" localSheetId="25">#REF!</definedName>
    <definedName name="______________obl17" localSheetId="12">#REF!</definedName>
    <definedName name="______________obl17" localSheetId="14">#REF!</definedName>
    <definedName name="______________obl17" localSheetId="30">#REF!</definedName>
    <definedName name="______________obl17" localSheetId="31">#REF!</definedName>
    <definedName name="______________obl17" localSheetId="32">#REF!</definedName>
    <definedName name="______________obl17">#REF!</definedName>
    <definedName name="______________obl1710" localSheetId="11">#REF!</definedName>
    <definedName name="______________obl1710" localSheetId="24">#REF!</definedName>
    <definedName name="______________obl1710" localSheetId="25">#REF!</definedName>
    <definedName name="______________obl1710" localSheetId="12">#REF!</definedName>
    <definedName name="______________obl1710" localSheetId="14">#REF!</definedName>
    <definedName name="______________obl1710" localSheetId="30">#REF!</definedName>
    <definedName name="______________obl1710" localSheetId="31">#REF!</definedName>
    <definedName name="______________obl1710" localSheetId="32">#REF!</definedName>
    <definedName name="______________obl1710">#REF!</definedName>
    <definedName name="______________obl1711" localSheetId="11">#REF!</definedName>
    <definedName name="______________obl1711" localSheetId="24">#REF!</definedName>
    <definedName name="______________obl1711" localSheetId="25">#REF!</definedName>
    <definedName name="______________obl1711" localSheetId="12">#REF!</definedName>
    <definedName name="______________obl1711" localSheetId="14">#REF!</definedName>
    <definedName name="______________obl1711" localSheetId="30">#REF!</definedName>
    <definedName name="______________obl1711" localSheetId="31">#REF!</definedName>
    <definedName name="______________obl1711" localSheetId="32">#REF!</definedName>
    <definedName name="______________obl1711">#REF!</definedName>
    <definedName name="______________obl1712" localSheetId="11">#REF!</definedName>
    <definedName name="______________obl1712" localSheetId="24">#REF!</definedName>
    <definedName name="______________obl1712" localSheetId="25">#REF!</definedName>
    <definedName name="______________obl1712" localSheetId="12">#REF!</definedName>
    <definedName name="______________obl1712" localSheetId="14">#REF!</definedName>
    <definedName name="______________obl1712" localSheetId="30">#REF!</definedName>
    <definedName name="______________obl1712" localSheetId="31">#REF!</definedName>
    <definedName name="______________obl1712" localSheetId="32">#REF!</definedName>
    <definedName name="______________obl1712">#REF!</definedName>
    <definedName name="______________obl1713" localSheetId="11">#REF!</definedName>
    <definedName name="______________obl1713" localSheetId="24">#REF!</definedName>
    <definedName name="______________obl1713" localSheetId="25">#REF!</definedName>
    <definedName name="______________obl1713" localSheetId="12">#REF!</definedName>
    <definedName name="______________obl1713" localSheetId="14">#REF!</definedName>
    <definedName name="______________obl1713" localSheetId="30">#REF!</definedName>
    <definedName name="______________obl1713" localSheetId="31">#REF!</definedName>
    <definedName name="______________obl1713" localSheetId="32">#REF!</definedName>
    <definedName name="______________obl1713">#REF!</definedName>
    <definedName name="______________obl1714" localSheetId="11">#REF!</definedName>
    <definedName name="______________obl1714" localSheetId="24">#REF!</definedName>
    <definedName name="______________obl1714" localSheetId="25">#REF!</definedName>
    <definedName name="______________obl1714" localSheetId="12">#REF!</definedName>
    <definedName name="______________obl1714" localSheetId="14">#REF!</definedName>
    <definedName name="______________obl1714" localSheetId="30">#REF!</definedName>
    <definedName name="______________obl1714" localSheetId="31">#REF!</definedName>
    <definedName name="______________obl1714" localSheetId="32">#REF!</definedName>
    <definedName name="______________obl1714">#REF!</definedName>
    <definedName name="______________obl1715" localSheetId="11">#REF!</definedName>
    <definedName name="______________obl1715" localSheetId="24">#REF!</definedName>
    <definedName name="______________obl1715" localSheetId="25">#REF!</definedName>
    <definedName name="______________obl1715" localSheetId="12">#REF!</definedName>
    <definedName name="______________obl1715" localSheetId="14">#REF!</definedName>
    <definedName name="______________obl1715" localSheetId="30">#REF!</definedName>
    <definedName name="______________obl1715" localSheetId="31">#REF!</definedName>
    <definedName name="______________obl1715" localSheetId="32">#REF!</definedName>
    <definedName name="______________obl1715">#REF!</definedName>
    <definedName name="______________obl1716" localSheetId="11">#REF!</definedName>
    <definedName name="______________obl1716" localSheetId="24">#REF!</definedName>
    <definedName name="______________obl1716" localSheetId="25">#REF!</definedName>
    <definedName name="______________obl1716" localSheetId="12">#REF!</definedName>
    <definedName name="______________obl1716" localSheetId="14">#REF!</definedName>
    <definedName name="______________obl1716" localSheetId="30">#REF!</definedName>
    <definedName name="______________obl1716" localSheetId="31">#REF!</definedName>
    <definedName name="______________obl1716" localSheetId="32">#REF!</definedName>
    <definedName name="______________obl1716">#REF!</definedName>
    <definedName name="______________obl1717" localSheetId="11">#REF!</definedName>
    <definedName name="______________obl1717" localSheetId="24">#REF!</definedName>
    <definedName name="______________obl1717" localSheetId="25">#REF!</definedName>
    <definedName name="______________obl1717" localSheetId="12">#REF!</definedName>
    <definedName name="______________obl1717" localSheetId="14">#REF!</definedName>
    <definedName name="______________obl1717" localSheetId="30">#REF!</definedName>
    <definedName name="______________obl1717" localSheetId="31">#REF!</definedName>
    <definedName name="______________obl1717" localSheetId="32">#REF!</definedName>
    <definedName name="______________obl1717">#REF!</definedName>
    <definedName name="______________obl1718" localSheetId="11">#REF!</definedName>
    <definedName name="______________obl1718" localSheetId="24">#REF!</definedName>
    <definedName name="______________obl1718" localSheetId="25">#REF!</definedName>
    <definedName name="______________obl1718" localSheetId="12">#REF!</definedName>
    <definedName name="______________obl1718" localSheetId="14">#REF!</definedName>
    <definedName name="______________obl1718" localSheetId="30">#REF!</definedName>
    <definedName name="______________obl1718" localSheetId="31">#REF!</definedName>
    <definedName name="______________obl1718" localSheetId="32">#REF!</definedName>
    <definedName name="______________obl1718">#REF!</definedName>
    <definedName name="______________obl1719" localSheetId="11">#REF!</definedName>
    <definedName name="______________obl1719" localSheetId="24">#REF!</definedName>
    <definedName name="______________obl1719" localSheetId="25">#REF!</definedName>
    <definedName name="______________obl1719" localSheetId="12">#REF!</definedName>
    <definedName name="______________obl1719" localSheetId="14">#REF!</definedName>
    <definedName name="______________obl1719" localSheetId="30">#REF!</definedName>
    <definedName name="______________obl1719" localSheetId="31">#REF!</definedName>
    <definedName name="______________obl1719" localSheetId="32">#REF!</definedName>
    <definedName name="______________obl1719">#REF!</definedName>
    <definedName name="______________obl173" localSheetId="11">#REF!</definedName>
    <definedName name="______________obl173" localSheetId="24">#REF!</definedName>
    <definedName name="______________obl173" localSheetId="25">#REF!</definedName>
    <definedName name="______________obl173" localSheetId="12">#REF!</definedName>
    <definedName name="______________obl173" localSheetId="14">#REF!</definedName>
    <definedName name="______________obl173" localSheetId="30">#REF!</definedName>
    <definedName name="______________obl173" localSheetId="31">#REF!</definedName>
    <definedName name="______________obl173" localSheetId="32">#REF!</definedName>
    <definedName name="______________obl173">#REF!</definedName>
    <definedName name="______________obl174" localSheetId="11">#REF!</definedName>
    <definedName name="______________obl174" localSheetId="24">#REF!</definedName>
    <definedName name="______________obl174" localSheetId="25">#REF!</definedName>
    <definedName name="______________obl174" localSheetId="12">#REF!</definedName>
    <definedName name="______________obl174" localSheetId="14">#REF!</definedName>
    <definedName name="______________obl174" localSheetId="30">#REF!</definedName>
    <definedName name="______________obl174" localSheetId="31">#REF!</definedName>
    <definedName name="______________obl174" localSheetId="32">#REF!</definedName>
    <definedName name="______________obl174">#REF!</definedName>
    <definedName name="______________obl175" localSheetId="11">#REF!</definedName>
    <definedName name="______________obl175" localSheetId="24">#REF!</definedName>
    <definedName name="______________obl175" localSheetId="25">#REF!</definedName>
    <definedName name="______________obl175" localSheetId="12">#REF!</definedName>
    <definedName name="______________obl175" localSheetId="14">#REF!</definedName>
    <definedName name="______________obl175" localSheetId="30">#REF!</definedName>
    <definedName name="______________obl175" localSheetId="31">#REF!</definedName>
    <definedName name="______________obl175" localSheetId="32">#REF!</definedName>
    <definedName name="______________obl175">#REF!</definedName>
    <definedName name="______________obl176" localSheetId="11">#REF!</definedName>
    <definedName name="______________obl176" localSheetId="24">#REF!</definedName>
    <definedName name="______________obl176" localSheetId="25">#REF!</definedName>
    <definedName name="______________obl176" localSheetId="12">#REF!</definedName>
    <definedName name="______________obl176" localSheetId="14">#REF!</definedName>
    <definedName name="______________obl176" localSheetId="30">#REF!</definedName>
    <definedName name="______________obl176" localSheetId="31">#REF!</definedName>
    <definedName name="______________obl176" localSheetId="32">#REF!</definedName>
    <definedName name="______________obl176">#REF!</definedName>
    <definedName name="______________obl177" localSheetId="11">#REF!</definedName>
    <definedName name="______________obl177" localSheetId="24">#REF!</definedName>
    <definedName name="______________obl177" localSheetId="25">#REF!</definedName>
    <definedName name="______________obl177" localSheetId="12">#REF!</definedName>
    <definedName name="______________obl177" localSheetId="14">#REF!</definedName>
    <definedName name="______________obl177" localSheetId="30">#REF!</definedName>
    <definedName name="______________obl177" localSheetId="31">#REF!</definedName>
    <definedName name="______________obl177" localSheetId="32">#REF!</definedName>
    <definedName name="______________obl177">#REF!</definedName>
    <definedName name="______________obl178" localSheetId="11">#REF!</definedName>
    <definedName name="______________obl178" localSheetId="24">#REF!</definedName>
    <definedName name="______________obl178" localSheetId="25">#REF!</definedName>
    <definedName name="______________obl178" localSheetId="12">#REF!</definedName>
    <definedName name="______________obl178" localSheetId="14">#REF!</definedName>
    <definedName name="______________obl178" localSheetId="30">#REF!</definedName>
    <definedName name="______________obl178" localSheetId="31">#REF!</definedName>
    <definedName name="______________obl178" localSheetId="32">#REF!</definedName>
    <definedName name="______________obl178">#REF!</definedName>
    <definedName name="______________obl179" localSheetId="11">#REF!</definedName>
    <definedName name="______________obl179" localSheetId="24">#REF!</definedName>
    <definedName name="______________obl179" localSheetId="25">#REF!</definedName>
    <definedName name="______________obl179" localSheetId="12">#REF!</definedName>
    <definedName name="______________obl179" localSheetId="14">#REF!</definedName>
    <definedName name="______________obl179" localSheetId="30">#REF!</definedName>
    <definedName name="______________obl179" localSheetId="31">#REF!</definedName>
    <definedName name="______________obl179" localSheetId="32">#REF!</definedName>
    <definedName name="______________obl179">#REF!</definedName>
    <definedName name="______________obl18" localSheetId="11">#REF!</definedName>
    <definedName name="______________obl18" localSheetId="24">#REF!</definedName>
    <definedName name="______________obl18" localSheetId="25">#REF!</definedName>
    <definedName name="______________obl18" localSheetId="12">#REF!</definedName>
    <definedName name="______________obl18" localSheetId="14">#REF!</definedName>
    <definedName name="______________obl18" localSheetId="30">#REF!</definedName>
    <definedName name="______________obl18" localSheetId="31">#REF!</definedName>
    <definedName name="______________obl18" localSheetId="32">#REF!</definedName>
    <definedName name="______________obl18">#REF!</definedName>
    <definedName name="______________obl181" localSheetId="11">#REF!</definedName>
    <definedName name="______________obl181" localSheetId="24">#REF!</definedName>
    <definedName name="______________obl181" localSheetId="25">#REF!</definedName>
    <definedName name="______________obl181" localSheetId="12">#REF!</definedName>
    <definedName name="______________obl181" localSheetId="14">#REF!</definedName>
    <definedName name="______________obl181" localSheetId="30">#REF!</definedName>
    <definedName name="______________obl181" localSheetId="31">#REF!</definedName>
    <definedName name="______________obl181" localSheetId="32">#REF!</definedName>
    <definedName name="______________obl181">#REF!</definedName>
    <definedName name="______________obl1816" localSheetId="11">#REF!</definedName>
    <definedName name="______________obl1816" localSheetId="24">#REF!</definedName>
    <definedName name="______________obl1816" localSheetId="25">#REF!</definedName>
    <definedName name="______________obl1816" localSheetId="12">#REF!</definedName>
    <definedName name="______________obl1816" localSheetId="14">#REF!</definedName>
    <definedName name="______________obl1816" localSheetId="30">#REF!</definedName>
    <definedName name="______________obl1816" localSheetId="31">#REF!</definedName>
    <definedName name="______________obl1816" localSheetId="32">#REF!</definedName>
    <definedName name="______________obl1816">#REF!</definedName>
    <definedName name="______________obl1820" localSheetId="11">#REF!</definedName>
    <definedName name="______________obl1820" localSheetId="24">#REF!</definedName>
    <definedName name="______________obl1820" localSheetId="25">#REF!</definedName>
    <definedName name="______________obl1820" localSheetId="12">#REF!</definedName>
    <definedName name="______________obl1820" localSheetId="14">#REF!</definedName>
    <definedName name="______________obl1820" localSheetId="30">#REF!</definedName>
    <definedName name="______________obl1820" localSheetId="31">#REF!</definedName>
    <definedName name="______________obl1820" localSheetId="32">#REF!</definedName>
    <definedName name="______________obl1820">#REF!</definedName>
    <definedName name="______________obl1821" localSheetId="11">#REF!</definedName>
    <definedName name="______________obl1821" localSheetId="24">#REF!</definedName>
    <definedName name="______________obl1821" localSheetId="25">#REF!</definedName>
    <definedName name="______________obl1821" localSheetId="12">#REF!</definedName>
    <definedName name="______________obl1821" localSheetId="14">#REF!</definedName>
    <definedName name="______________obl1821" localSheetId="30">#REF!</definedName>
    <definedName name="______________obl1821" localSheetId="31">#REF!</definedName>
    <definedName name="______________obl1821" localSheetId="32">#REF!</definedName>
    <definedName name="______________obl1821">#REF!</definedName>
    <definedName name="______________obl1822" localSheetId="11">#REF!</definedName>
    <definedName name="______________obl1822" localSheetId="24">#REF!</definedName>
    <definedName name="______________obl1822" localSheetId="25">#REF!</definedName>
    <definedName name="______________obl1822" localSheetId="12">#REF!</definedName>
    <definedName name="______________obl1822" localSheetId="14">#REF!</definedName>
    <definedName name="______________obl1822" localSheetId="30">#REF!</definedName>
    <definedName name="______________obl1822" localSheetId="31">#REF!</definedName>
    <definedName name="______________obl1822" localSheetId="32">#REF!</definedName>
    <definedName name="______________obl1822">#REF!</definedName>
    <definedName name="______________obl1823" localSheetId="11">#REF!</definedName>
    <definedName name="______________obl1823" localSheetId="24">#REF!</definedName>
    <definedName name="______________obl1823" localSheetId="25">#REF!</definedName>
    <definedName name="______________obl1823" localSheetId="12">#REF!</definedName>
    <definedName name="______________obl1823" localSheetId="14">#REF!</definedName>
    <definedName name="______________obl1823" localSheetId="30">#REF!</definedName>
    <definedName name="______________obl1823" localSheetId="31">#REF!</definedName>
    <definedName name="______________obl1823" localSheetId="32">#REF!</definedName>
    <definedName name="______________obl1823">#REF!</definedName>
    <definedName name="______________obl1824" localSheetId="11">#REF!</definedName>
    <definedName name="______________obl1824" localSheetId="24">#REF!</definedName>
    <definedName name="______________obl1824" localSheetId="25">#REF!</definedName>
    <definedName name="______________obl1824" localSheetId="12">#REF!</definedName>
    <definedName name="______________obl1824" localSheetId="14">#REF!</definedName>
    <definedName name="______________obl1824" localSheetId="30">#REF!</definedName>
    <definedName name="______________obl1824" localSheetId="31">#REF!</definedName>
    <definedName name="______________obl1824" localSheetId="32">#REF!</definedName>
    <definedName name="______________obl1824">#REF!</definedName>
    <definedName name="______________obl1825" localSheetId="11">#REF!</definedName>
    <definedName name="______________obl1825" localSheetId="24">#REF!</definedName>
    <definedName name="______________obl1825" localSheetId="25">#REF!</definedName>
    <definedName name="______________obl1825" localSheetId="12">#REF!</definedName>
    <definedName name="______________obl1825" localSheetId="14">#REF!</definedName>
    <definedName name="______________obl1825" localSheetId="30">#REF!</definedName>
    <definedName name="______________obl1825" localSheetId="31">#REF!</definedName>
    <definedName name="______________obl1825" localSheetId="32">#REF!</definedName>
    <definedName name="______________obl1825">#REF!</definedName>
    <definedName name="______________obl1826" localSheetId="11">#REF!</definedName>
    <definedName name="______________obl1826" localSheetId="24">#REF!</definedName>
    <definedName name="______________obl1826" localSheetId="25">#REF!</definedName>
    <definedName name="______________obl1826" localSheetId="12">#REF!</definedName>
    <definedName name="______________obl1826" localSheetId="14">#REF!</definedName>
    <definedName name="______________obl1826" localSheetId="30">#REF!</definedName>
    <definedName name="______________obl1826" localSheetId="31">#REF!</definedName>
    <definedName name="______________obl1826" localSheetId="32">#REF!</definedName>
    <definedName name="______________obl1826">#REF!</definedName>
    <definedName name="______________obl1827" localSheetId="11">#REF!</definedName>
    <definedName name="______________obl1827" localSheetId="24">#REF!</definedName>
    <definedName name="______________obl1827" localSheetId="25">#REF!</definedName>
    <definedName name="______________obl1827" localSheetId="12">#REF!</definedName>
    <definedName name="______________obl1827" localSheetId="14">#REF!</definedName>
    <definedName name="______________obl1827" localSheetId="30">#REF!</definedName>
    <definedName name="______________obl1827" localSheetId="31">#REF!</definedName>
    <definedName name="______________obl1827" localSheetId="32">#REF!</definedName>
    <definedName name="______________obl1827">#REF!</definedName>
    <definedName name="______________obl1828" localSheetId="11">#REF!</definedName>
    <definedName name="______________obl1828" localSheetId="24">#REF!</definedName>
    <definedName name="______________obl1828" localSheetId="25">#REF!</definedName>
    <definedName name="______________obl1828" localSheetId="12">#REF!</definedName>
    <definedName name="______________obl1828" localSheetId="14">#REF!</definedName>
    <definedName name="______________obl1828" localSheetId="30">#REF!</definedName>
    <definedName name="______________obl1828" localSheetId="31">#REF!</definedName>
    <definedName name="______________obl1828" localSheetId="32">#REF!</definedName>
    <definedName name="______________obl1828">#REF!</definedName>
    <definedName name="______________obl1829" localSheetId="11">#REF!</definedName>
    <definedName name="______________obl1829" localSheetId="24">#REF!</definedName>
    <definedName name="______________obl1829" localSheetId="25">#REF!</definedName>
    <definedName name="______________obl1829" localSheetId="12">#REF!</definedName>
    <definedName name="______________obl1829" localSheetId="14">#REF!</definedName>
    <definedName name="______________obl1829" localSheetId="30">#REF!</definedName>
    <definedName name="______________obl1829" localSheetId="31">#REF!</definedName>
    <definedName name="______________obl1829" localSheetId="32">#REF!</definedName>
    <definedName name="______________obl1829">#REF!</definedName>
    <definedName name="______________obl183" localSheetId="11">#REF!</definedName>
    <definedName name="______________obl183" localSheetId="24">#REF!</definedName>
    <definedName name="______________obl183" localSheetId="25">#REF!</definedName>
    <definedName name="______________obl183" localSheetId="12">#REF!</definedName>
    <definedName name="______________obl183" localSheetId="14">#REF!</definedName>
    <definedName name="______________obl183" localSheetId="30">#REF!</definedName>
    <definedName name="______________obl183" localSheetId="31">#REF!</definedName>
    <definedName name="______________obl183" localSheetId="32">#REF!</definedName>
    <definedName name="______________obl183">#REF!</definedName>
    <definedName name="______________obl1831" localSheetId="11">#REF!</definedName>
    <definedName name="______________obl1831" localSheetId="24">#REF!</definedName>
    <definedName name="______________obl1831" localSheetId="25">#REF!</definedName>
    <definedName name="______________obl1831" localSheetId="12">#REF!</definedName>
    <definedName name="______________obl1831" localSheetId="14">#REF!</definedName>
    <definedName name="______________obl1831" localSheetId="30">#REF!</definedName>
    <definedName name="______________obl1831" localSheetId="31">#REF!</definedName>
    <definedName name="______________obl1831" localSheetId="32">#REF!</definedName>
    <definedName name="______________obl1831">#REF!</definedName>
    <definedName name="______________obl1832" localSheetId="11">#REF!</definedName>
    <definedName name="______________obl1832" localSheetId="24">#REF!</definedName>
    <definedName name="______________obl1832" localSheetId="25">#REF!</definedName>
    <definedName name="______________obl1832" localSheetId="12">#REF!</definedName>
    <definedName name="______________obl1832" localSheetId="14">#REF!</definedName>
    <definedName name="______________obl1832" localSheetId="30">#REF!</definedName>
    <definedName name="______________obl1832" localSheetId="31">#REF!</definedName>
    <definedName name="______________obl1832" localSheetId="32">#REF!</definedName>
    <definedName name="______________obl1832">#REF!</definedName>
    <definedName name="______________obl184" localSheetId="11">#REF!</definedName>
    <definedName name="______________obl184" localSheetId="24">#REF!</definedName>
    <definedName name="______________obl184" localSheetId="25">#REF!</definedName>
    <definedName name="______________obl184" localSheetId="12">#REF!</definedName>
    <definedName name="______________obl184" localSheetId="14">#REF!</definedName>
    <definedName name="______________obl184" localSheetId="30">#REF!</definedName>
    <definedName name="______________obl184" localSheetId="31">#REF!</definedName>
    <definedName name="______________obl184" localSheetId="32">#REF!</definedName>
    <definedName name="______________obl184">#REF!</definedName>
    <definedName name="______________obl185" localSheetId="11">#REF!</definedName>
    <definedName name="______________obl185" localSheetId="24">#REF!</definedName>
    <definedName name="______________obl185" localSheetId="25">#REF!</definedName>
    <definedName name="______________obl185" localSheetId="12">#REF!</definedName>
    <definedName name="______________obl185" localSheetId="14">#REF!</definedName>
    <definedName name="______________obl185" localSheetId="30">#REF!</definedName>
    <definedName name="______________obl185" localSheetId="31">#REF!</definedName>
    <definedName name="______________obl185" localSheetId="32">#REF!</definedName>
    <definedName name="______________obl185">#REF!</definedName>
    <definedName name="______________obl186" localSheetId="11">#REF!</definedName>
    <definedName name="______________obl186" localSheetId="24">#REF!</definedName>
    <definedName name="______________obl186" localSheetId="25">#REF!</definedName>
    <definedName name="______________obl186" localSheetId="12">#REF!</definedName>
    <definedName name="______________obl186" localSheetId="14">#REF!</definedName>
    <definedName name="______________obl186" localSheetId="30">#REF!</definedName>
    <definedName name="______________obl186" localSheetId="31">#REF!</definedName>
    <definedName name="______________obl186" localSheetId="32">#REF!</definedName>
    <definedName name="______________obl186">#REF!</definedName>
    <definedName name="______________obl187" localSheetId="11">#REF!</definedName>
    <definedName name="______________obl187" localSheetId="24">#REF!</definedName>
    <definedName name="______________obl187" localSheetId="25">#REF!</definedName>
    <definedName name="______________obl187" localSheetId="12">#REF!</definedName>
    <definedName name="______________obl187" localSheetId="14">#REF!</definedName>
    <definedName name="______________obl187" localSheetId="30">#REF!</definedName>
    <definedName name="______________obl187" localSheetId="31">#REF!</definedName>
    <definedName name="______________obl187" localSheetId="32">#REF!</definedName>
    <definedName name="______________obl187">#REF!</definedName>
    <definedName name="_____________obl11" localSheetId="11">#REF!</definedName>
    <definedName name="_____________obl11" localSheetId="25">#REF!</definedName>
    <definedName name="_____________obl11" localSheetId="12">#REF!</definedName>
    <definedName name="_____________obl11" localSheetId="14">#REF!</definedName>
    <definedName name="_____________obl11" localSheetId="30">#REF!</definedName>
    <definedName name="_____________obl11" localSheetId="31">#REF!</definedName>
    <definedName name="_____________obl11" localSheetId="32">#REF!</definedName>
    <definedName name="_____________obl11">#REF!</definedName>
    <definedName name="_____________obl12" localSheetId="11">#REF!</definedName>
    <definedName name="_____________obl12" localSheetId="25">#REF!</definedName>
    <definedName name="_____________obl12" localSheetId="12">#REF!</definedName>
    <definedName name="_____________obl12" localSheetId="14">#REF!</definedName>
    <definedName name="_____________obl12" localSheetId="30">#REF!</definedName>
    <definedName name="_____________obl12" localSheetId="31">#REF!</definedName>
    <definedName name="_____________obl12" localSheetId="32">#REF!</definedName>
    <definedName name="_____________obl12">#REF!</definedName>
    <definedName name="_____________obl13" localSheetId="11">#REF!</definedName>
    <definedName name="_____________obl13" localSheetId="25">#REF!</definedName>
    <definedName name="_____________obl13" localSheetId="12">#REF!</definedName>
    <definedName name="_____________obl13" localSheetId="14">#REF!</definedName>
    <definedName name="_____________obl13" localSheetId="30">#REF!</definedName>
    <definedName name="_____________obl13" localSheetId="31">#REF!</definedName>
    <definedName name="_____________obl13" localSheetId="32">#REF!</definedName>
    <definedName name="_____________obl13">#REF!</definedName>
    <definedName name="_____________obl14" localSheetId="11">#REF!</definedName>
    <definedName name="_____________obl14" localSheetId="25">#REF!</definedName>
    <definedName name="_____________obl14" localSheetId="12">#REF!</definedName>
    <definedName name="_____________obl14" localSheetId="14">#REF!</definedName>
    <definedName name="_____________obl14" localSheetId="30">#REF!</definedName>
    <definedName name="_____________obl14" localSheetId="31">#REF!</definedName>
    <definedName name="_____________obl14" localSheetId="32">#REF!</definedName>
    <definedName name="_____________obl14">#REF!</definedName>
    <definedName name="_____________obl15" localSheetId="11">#REF!</definedName>
    <definedName name="_____________obl15" localSheetId="25">#REF!</definedName>
    <definedName name="_____________obl15" localSheetId="12">#REF!</definedName>
    <definedName name="_____________obl15" localSheetId="14">#REF!</definedName>
    <definedName name="_____________obl15" localSheetId="30">#REF!</definedName>
    <definedName name="_____________obl15" localSheetId="31">#REF!</definedName>
    <definedName name="_____________obl15" localSheetId="32">#REF!</definedName>
    <definedName name="_____________obl15">#REF!</definedName>
    <definedName name="_____________obl16" localSheetId="11">#REF!</definedName>
    <definedName name="_____________obl16" localSheetId="25">#REF!</definedName>
    <definedName name="_____________obl16" localSheetId="12">#REF!</definedName>
    <definedName name="_____________obl16" localSheetId="14">#REF!</definedName>
    <definedName name="_____________obl16" localSheetId="30">#REF!</definedName>
    <definedName name="_____________obl16" localSheetId="31">#REF!</definedName>
    <definedName name="_____________obl16" localSheetId="32">#REF!</definedName>
    <definedName name="_____________obl16">#REF!</definedName>
    <definedName name="_____________obl17" localSheetId="11">#REF!</definedName>
    <definedName name="_____________obl17" localSheetId="25">#REF!</definedName>
    <definedName name="_____________obl17" localSheetId="12">#REF!</definedName>
    <definedName name="_____________obl17" localSheetId="14">#REF!</definedName>
    <definedName name="_____________obl17" localSheetId="30">#REF!</definedName>
    <definedName name="_____________obl17" localSheetId="31">#REF!</definedName>
    <definedName name="_____________obl17" localSheetId="32">#REF!</definedName>
    <definedName name="_____________obl17">#REF!</definedName>
    <definedName name="_____________obl1710" localSheetId="11">#REF!</definedName>
    <definedName name="_____________obl1710" localSheetId="25">#REF!</definedName>
    <definedName name="_____________obl1710" localSheetId="12">#REF!</definedName>
    <definedName name="_____________obl1710" localSheetId="14">#REF!</definedName>
    <definedName name="_____________obl1710" localSheetId="30">#REF!</definedName>
    <definedName name="_____________obl1710" localSheetId="31">#REF!</definedName>
    <definedName name="_____________obl1710" localSheetId="32">#REF!</definedName>
    <definedName name="_____________obl1710">#REF!</definedName>
    <definedName name="_____________obl1711" localSheetId="11">#REF!</definedName>
    <definedName name="_____________obl1711" localSheetId="25">#REF!</definedName>
    <definedName name="_____________obl1711" localSheetId="12">#REF!</definedName>
    <definedName name="_____________obl1711" localSheetId="14">#REF!</definedName>
    <definedName name="_____________obl1711" localSheetId="30">#REF!</definedName>
    <definedName name="_____________obl1711" localSheetId="31">#REF!</definedName>
    <definedName name="_____________obl1711" localSheetId="32">#REF!</definedName>
    <definedName name="_____________obl1711">#REF!</definedName>
    <definedName name="_____________obl1712" localSheetId="11">#REF!</definedName>
    <definedName name="_____________obl1712" localSheetId="25">#REF!</definedName>
    <definedName name="_____________obl1712" localSheetId="12">#REF!</definedName>
    <definedName name="_____________obl1712" localSheetId="14">#REF!</definedName>
    <definedName name="_____________obl1712" localSheetId="30">#REF!</definedName>
    <definedName name="_____________obl1712" localSheetId="31">#REF!</definedName>
    <definedName name="_____________obl1712" localSheetId="32">#REF!</definedName>
    <definedName name="_____________obl1712">#REF!</definedName>
    <definedName name="_____________obl1713" localSheetId="11">#REF!</definedName>
    <definedName name="_____________obl1713" localSheetId="25">#REF!</definedName>
    <definedName name="_____________obl1713" localSheetId="12">#REF!</definedName>
    <definedName name="_____________obl1713" localSheetId="14">#REF!</definedName>
    <definedName name="_____________obl1713" localSheetId="30">#REF!</definedName>
    <definedName name="_____________obl1713" localSheetId="31">#REF!</definedName>
    <definedName name="_____________obl1713" localSheetId="32">#REF!</definedName>
    <definedName name="_____________obl1713">#REF!</definedName>
    <definedName name="_____________obl1714" localSheetId="11">#REF!</definedName>
    <definedName name="_____________obl1714" localSheetId="25">#REF!</definedName>
    <definedName name="_____________obl1714" localSheetId="12">#REF!</definedName>
    <definedName name="_____________obl1714" localSheetId="14">#REF!</definedName>
    <definedName name="_____________obl1714" localSheetId="30">#REF!</definedName>
    <definedName name="_____________obl1714" localSheetId="31">#REF!</definedName>
    <definedName name="_____________obl1714" localSheetId="32">#REF!</definedName>
    <definedName name="_____________obl1714">#REF!</definedName>
    <definedName name="_____________obl1715" localSheetId="11">#REF!</definedName>
    <definedName name="_____________obl1715" localSheetId="25">#REF!</definedName>
    <definedName name="_____________obl1715" localSheetId="12">#REF!</definedName>
    <definedName name="_____________obl1715" localSheetId="14">#REF!</definedName>
    <definedName name="_____________obl1715" localSheetId="30">#REF!</definedName>
    <definedName name="_____________obl1715" localSheetId="31">#REF!</definedName>
    <definedName name="_____________obl1715" localSheetId="32">#REF!</definedName>
    <definedName name="_____________obl1715">#REF!</definedName>
    <definedName name="_____________obl1716" localSheetId="11">#REF!</definedName>
    <definedName name="_____________obl1716" localSheetId="25">#REF!</definedName>
    <definedName name="_____________obl1716" localSheetId="12">#REF!</definedName>
    <definedName name="_____________obl1716" localSheetId="14">#REF!</definedName>
    <definedName name="_____________obl1716" localSheetId="30">#REF!</definedName>
    <definedName name="_____________obl1716" localSheetId="31">#REF!</definedName>
    <definedName name="_____________obl1716" localSheetId="32">#REF!</definedName>
    <definedName name="_____________obl1716">#REF!</definedName>
    <definedName name="_____________obl1717" localSheetId="11">#REF!</definedName>
    <definedName name="_____________obl1717" localSheetId="25">#REF!</definedName>
    <definedName name="_____________obl1717" localSheetId="12">#REF!</definedName>
    <definedName name="_____________obl1717" localSheetId="14">#REF!</definedName>
    <definedName name="_____________obl1717" localSheetId="30">#REF!</definedName>
    <definedName name="_____________obl1717" localSheetId="31">#REF!</definedName>
    <definedName name="_____________obl1717" localSheetId="32">#REF!</definedName>
    <definedName name="_____________obl1717">#REF!</definedName>
    <definedName name="_____________obl1718" localSheetId="11">#REF!</definedName>
    <definedName name="_____________obl1718" localSheetId="25">#REF!</definedName>
    <definedName name="_____________obl1718" localSheetId="12">#REF!</definedName>
    <definedName name="_____________obl1718" localSheetId="14">#REF!</definedName>
    <definedName name="_____________obl1718" localSheetId="30">#REF!</definedName>
    <definedName name="_____________obl1718" localSheetId="31">#REF!</definedName>
    <definedName name="_____________obl1718" localSheetId="32">#REF!</definedName>
    <definedName name="_____________obl1718">#REF!</definedName>
    <definedName name="_____________obl1719" localSheetId="11">#REF!</definedName>
    <definedName name="_____________obl1719" localSheetId="25">#REF!</definedName>
    <definedName name="_____________obl1719" localSheetId="12">#REF!</definedName>
    <definedName name="_____________obl1719" localSheetId="14">#REF!</definedName>
    <definedName name="_____________obl1719" localSheetId="30">#REF!</definedName>
    <definedName name="_____________obl1719" localSheetId="31">#REF!</definedName>
    <definedName name="_____________obl1719" localSheetId="32">#REF!</definedName>
    <definedName name="_____________obl1719">#REF!</definedName>
    <definedName name="_____________obl173" localSheetId="11">#REF!</definedName>
    <definedName name="_____________obl173" localSheetId="25">#REF!</definedName>
    <definedName name="_____________obl173" localSheetId="12">#REF!</definedName>
    <definedName name="_____________obl173" localSheetId="14">#REF!</definedName>
    <definedName name="_____________obl173" localSheetId="30">#REF!</definedName>
    <definedName name="_____________obl173" localSheetId="31">#REF!</definedName>
    <definedName name="_____________obl173" localSheetId="32">#REF!</definedName>
    <definedName name="_____________obl173">#REF!</definedName>
    <definedName name="_____________obl174" localSheetId="11">#REF!</definedName>
    <definedName name="_____________obl174" localSheetId="25">#REF!</definedName>
    <definedName name="_____________obl174" localSheetId="12">#REF!</definedName>
    <definedName name="_____________obl174" localSheetId="14">#REF!</definedName>
    <definedName name="_____________obl174" localSheetId="30">#REF!</definedName>
    <definedName name="_____________obl174" localSheetId="31">#REF!</definedName>
    <definedName name="_____________obl174" localSheetId="32">#REF!</definedName>
    <definedName name="_____________obl174">#REF!</definedName>
    <definedName name="_____________obl175" localSheetId="11">#REF!</definedName>
    <definedName name="_____________obl175" localSheetId="25">#REF!</definedName>
    <definedName name="_____________obl175" localSheetId="12">#REF!</definedName>
    <definedName name="_____________obl175" localSheetId="14">#REF!</definedName>
    <definedName name="_____________obl175" localSheetId="30">#REF!</definedName>
    <definedName name="_____________obl175" localSheetId="31">#REF!</definedName>
    <definedName name="_____________obl175" localSheetId="32">#REF!</definedName>
    <definedName name="_____________obl175">#REF!</definedName>
    <definedName name="_____________obl176" localSheetId="11">#REF!</definedName>
    <definedName name="_____________obl176" localSheetId="25">#REF!</definedName>
    <definedName name="_____________obl176" localSheetId="12">#REF!</definedName>
    <definedName name="_____________obl176" localSheetId="14">#REF!</definedName>
    <definedName name="_____________obl176" localSheetId="30">#REF!</definedName>
    <definedName name="_____________obl176" localSheetId="31">#REF!</definedName>
    <definedName name="_____________obl176" localSheetId="32">#REF!</definedName>
    <definedName name="_____________obl176">#REF!</definedName>
    <definedName name="_____________obl177" localSheetId="11">#REF!</definedName>
    <definedName name="_____________obl177" localSheetId="25">#REF!</definedName>
    <definedName name="_____________obl177" localSheetId="12">#REF!</definedName>
    <definedName name="_____________obl177" localSheetId="14">#REF!</definedName>
    <definedName name="_____________obl177" localSheetId="30">#REF!</definedName>
    <definedName name="_____________obl177" localSheetId="31">#REF!</definedName>
    <definedName name="_____________obl177" localSheetId="32">#REF!</definedName>
    <definedName name="_____________obl177">#REF!</definedName>
    <definedName name="_____________obl178" localSheetId="11">#REF!</definedName>
    <definedName name="_____________obl178" localSheetId="25">#REF!</definedName>
    <definedName name="_____________obl178" localSheetId="12">#REF!</definedName>
    <definedName name="_____________obl178" localSheetId="14">#REF!</definedName>
    <definedName name="_____________obl178" localSheetId="30">#REF!</definedName>
    <definedName name="_____________obl178" localSheetId="31">#REF!</definedName>
    <definedName name="_____________obl178" localSheetId="32">#REF!</definedName>
    <definedName name="_____________obl178">#REF!</definedName>
    <definedName name="_____________obl179" localSheetId="11">#REF!</definedName>
    <definedName name="_____________obl179" localSheetId="25">#REF!</definedName>
    <definedName name="_____________obl179" localSheetId="12">#REF!</definedName>
    <definedName name="_____________obl179" localSheetId="14">#REF!</definedName>
    <definedName name="_____________obl179" localSheetId="30">#REF!</definedName>
    <definedName name="_____________obl179" localSheetId="31">#REF!</definedName>
    <definedName name="_____________obl179" localSheetId="32">#REF!</definedName>
    <definedName name="_____________obl179">#REF!</definedName>
    <definedName name="_____________obl18" localSheetId="11">#REF!</definedName>
    <definedName name="_____________obl18" localSheetId="25">#REF!</definedName>
    <definedName name="_____________obl18" localSheetId="12">#REF!</definedName>
    <definedName name="_____________obl18" localSheetId="14">#REF!</definedName>
    <definedName name="_____________obl18" localSheetId="30">#REF!</definedName>
    <definedName name="_____________obl18" localSheetId="31">#REF!</definedName>
    <definedName name="_____________obl18" localSheetId="32">#REF!</definedName>
    <definedName name="_____________obl18">#REF!</definedName>
    <definedName name="_____________obl181" localSheetId="11">#REF!</definedName>
    <definedName name="_____________obl181" localSheetId="25">#REF!</definedName>
    <definedName name="_____________obl181" localSheetId="12">#REF!</definedName>
    <definedName name="_____________obl181" localSheetId="14">#REF!</definedName>
    <definedName name="_____________obl181" localSheetId="30">#REF!</definedName>
    <definedName name="_____________obl181" localSheetId="31">#REF!</definedName>
    <definedName name="_____________obl181" localSheetId="32">#REF!</definedName>
    <definedName name="_____________obl181">#REF!</definedName>
    <definedName name="_____________obl1816" localSheetId="11">#REF!</definedName>
    <definedName name="_____________obl1816" localSheetId="25">#REF!</definedName>
    <definedName name="_____________obl1816" localSheetId="12">#REF!</definedName>
    <definedName name="_____________obl1816" localSheetId="14">#REF!</definedName>
    <definedName name="_____________obl1816" localSheetId="30">#REF!</definedName>
    <definedName name="_____________obl1816" localSheetId="31">#REF!</definedName>
    <definedName name="_____________obl1816" localSheetId="32">#REF!</definedName>
    <definedName name="_____________obl1816">#REF!</definedName>
    <definedName name="_____________obl1820" localSheetId="11">#REF!</definedName>
    <definedName name="_____________obl1820" localSheetId="25">#REF!</definedName>
    <definedName name="_____________obl1820" localSheetId="12">#REF!</definedName>
    <definedName name="_____________obl1820" localSheetId="14">#REF!</definedName>
    <definedName name="_____________obl1820" localSheetId="30">#REF!</definedName>
    <definedName name="_____________obl1820" localSheetId="31">#REF!</definedName>
    <definedName name="_____________obl1820" localSheetId="32">#REF!</definedName>
    <definedName name="_____________obl1820">#REF!</definedName>
    <definedName name="_____________obl1821" localSheetId="11">#REF!</definedName>
    <definedName name="_____________obl1821" localSheetId="25">#REF!</definedName>
    <definedName name="_____________obl1821" localSheetId="12">#REF!</definedName>
    <definedName name="_____________obl1821" localSheetId="14">#REF!</definedName>
    <definedName name="_____________obl1821" localSheetId="30">#REF!</definedName>
    <definedName name="_____________obl1821" localSheetId="31">#REF!</definedName>
    <definedName name="_____________obl1821" localSheetId="32">#REF!</definedName>
    <definedName name="_____________obl1821">#REF!</definedName>
    <definedName name="_____________obl1822" localSheetId="11">#REF!</definedName>
    <definedName name="_____________obl1822" localSheetId="25">#REF!</definedName>
    <definedName name="_____________obl1822" localSheetId="12">#REF!</definedName>
    <definedName name="_____________obl1822" localSheetId="14">#REF!</definedName>
    <definedName name="_____________obl1822" localSheetId="30">#REF!</definedName>
    <definedName name="_____________obl1822" localSheetId="31">#REF!</definedName>
    <definedName name="_____________obl1822" localSheetId="32">#REF!</definedName>
    <definedName name="_____________obl1822">#REF!</definedName>
    <definedName name="_____________obl1823" localSheetId="11">#REF!</definedName>
    <definedName name="_____________obl1823" localSheetId="25">#REF!</definedName>
    <definedName name="_____________obl1823" localSheetId="12">#REF!</definedName>
    <definedName name="_____________obl1823" localSheetId="14">#REF!</definedName>
    <definedName name="_____________obl1823" localSheetId="30">#REF!</definedName>
    <definedName name="_____________obl1823" localSheetId="31">#REF!</definedName>
    <definedName name="_____________obl1823" localSheetId="32">#REF!</definedName>
    <definedName name="_____________obl1823">#REF!</definedName>
    <definedName name="_____________obl1824" localSheetId="11">#REF!</definedName>
    <definedName name="_____________obl1824" localSheetId="25">#REF!</definedName>
    <definedName name="_____________obl1824" localSheetId="12">#REF!</definedName>
    <definedName name="_____________obl1824" localSheetId="14">#REF!</definedName>
    <definedName name="_____________obl1824" localSheetId="30">#REF!</definedName>
    <definedName name="_____________obl1824" localSheetId="31">#REF!</definedName>
    <definedName name="_____________obl1824" localSheetId="32">#REF!</definedName>
    <definedName name="_____________obl1824">#REF!</definedName>
    <definedName name="_____________obl1825" localSheetId="11">#REF!</definedName>
    <definedName name="_____________obl1825" localSheetId="25">#REF!</definedName>
    <definedName name="_____________obl1825" localSheetId="12">#REF!</definedName>
    <definedName name="_____________obl1825" localSheetId="14">#REF!</definedName>
    <definedName name="_____________obl1825" localSheetId="30">#REF!</definedName>
    <definedName name="_____________obl1825" localSheetId="31">#REF!</definedName>
    <definedName name="_____________obl1825" localSheetId="32">#REF!</definedName>
    <definedName name="_____________obl1825">#REF!</definedName>
    <definedName name="_____________obl1826" localSheetId="11">#REF!</definedName>
    <definedName name="_____________obl1826" localSheetId="25">#REF!</definedName>
    <definedName name="_____________obl1826" localSheetId="12">#REF!</definedName>
    <definedName name="_____________obl1826" localSheetId="14">#REF!</definedName>
    <definedName name="_____________obl1826" localSheetId="30">#REF!</definedName>
    <definedName name="_____________obl1826" localSheetId="31">#REF!</definedName>
    <definedName name="_____________obl1826" localSheetId="32">#REF!</definedName>
    <definedName name="_____________obl1826">#REF!</definedName>
    <definedName name="_____________obl1827" localSheetId="11">#REF!</definedName>
    <definedName name="_____________obl1827" localSheetId="25">#REF!</definedName>
    <definedName name="_____________obl1827" localSheetId="12">#REF!</definedName>
    <definedName name="_____________obl1827" localSheetId="14">#REF!</definedName>
    <definedName name="_____________obl1827" localSheetId="30">#REF!</definedName>
    <definedName name="_____________obl1827" localSheetId="31">#REF!</definedName>
    <definedName name="_____________obl1827" localSheetId="32">#REF!</definedName>
    <definedName name="_____________obl1827">#REF!</definedName>
    <definedName name="_____________obl1828" localSheetId="11">#REF!</definedName>
    <definedName name="_____________obl1828" localSheetId="25">#REF!</definedName>
    <definedName name="_____________obl1828" localSheetId="12">#REF!</definedName>
    <definedName name="_____________obl1828" localSheetId="14">#REF!</definedName>
    <definedName name="_____________obl1828" localSheetId="30">#REF!</definedName>
    <definedName name="_____________obl1828" localSheetId="31">#REF!</definedName>
    <definedName name="_____________obl1828" localSheetId="32">#REF!</definedName>
    <definedName name="_____________obl1828">#REF!</definedName>
    <definedName name="_____________obl1829" localSheetId="11">#REF!</definedName>
    <definedName name="_____________obl1829" localSheetId="25">#REF!</definedName>
    <definedName name="_____________obl1829" localSheetId="12">#REF!</definedName>
    <definedName name="_____________obl1829" localSheetId="14">#REF!</definedName>
    <definedName name="_____________obl1829" localSheetId="30">#REF!</definedName>
    <definedName name="_____________obl1829" localSheetId="31">#REF!</definedName>
    <definedName name="_____________obl1829" localSheetId="32">#REF!</definedName>
    <definedName name="_____________obl1829">#REF!</definedName>
    <definedName name="_____________obl183" localSheetId="11">#REF!</definedName>
    <definedName name="_____________obl183" localSheetId="25">#REF!</definedName>
    <definedName name="_____________obl183" localSheetId="12">#REF!</definedName>
    <definedName name="_____________obl183" localSheetId="14">#REF!</definedName>
    <definedName name="_____________obl183" localSheetId="30">#REF!</definedName>
    <definedName name="_____________obl183" localSheetId="31">#REF!</definedName>
    <definedName name="_____________obl183" localSheetId="32">#REF!</definedName>
    <definedName name="_____________obl183">#REF!</definedName>
    <definedName name="_____________obl1831" localSheetId="11">#REF!</definedName>
    <definedName name="_____________obl1831" localSheetId="25">#REF!</definedName>
    <definedName name="_____________obl1831" localSheetId="12">#REF!</definedName>
    <definedName name="_____________obl1831" localSheetId="14">#REF!</definedName>
    <definedName name="_____________obl1831" localSheetId="30">#REF!</definedName>
    <definedName name="_____________obl1831" localSheetId="31">#REF!</definedName>
    <definedName name="_____________obl1831" localSheetId="32">#REF!</definedName>
    <definedName name="_____________obl1831">#REF!</definedName>
    <definedName name="_____________obl1832" localSheetId="11">#REF!</definedName>
    <definedName name="_____________obl1832" localSheetId="25">#REF!</definedName>
    <definedName name="_____________obl1832" localSheetId="12">#REF!</definedName>
    <definedName name="_____________obl1832" localSheetId="14">#REF!</definedName>
    <definedName name="_____________obl1832" localSheetId="30">#REF!</definedName>
    <definedName name="_____________obl1832" localSheetId="31">#REF!</definedName>
    <definedName name="_____________obl1832" localSheetId="32">#REF!</definedName>
    <definedName name="_____________obl1832">#REF!</definedName>
    <definedName name="_____________obl184" localSheetId="11">#REF!</definedName>
    <definedName name="_____________obl184" localSheetId="25">#REF!</definedName>
    <definedName name="_____________obl184" localSheetId="12">#REF!</definedName>
    <definedName name="_____________obl184" localSheetId="14">#REF!</definedName>
    <definedName name="_____________obl184" localSheetId="30">#REF!</definedName>
    <definedName name="_____________obl184" localSheetId="31">#REF!</definedName>
    <definedName name="_____________obl184" localSheetId="32">#REF!</definedName>
    <definedName name="_____________obl184">#REF!</definedName>
    <definedName name="_____________obl185" localSheetId="11">#REF!</definedName>
    <definedName name="_____________obl185" localSheetId="25">#REF!</definedName>
    <definedName name="_____________obl185" localSheetId="12">#REF!</definedName>
    <definedName name="_____________obl185" localSheetId="14">#REF!</definedName>
    <definedName name="_____________obl185" localSheetId="30">#REF!</definedName>
    <definedName name="_____________obl185" localSheetId="31">#REF!</definedName>
    <definedName name="_____________obl185" localSheetId="32">#REF!</definedName>
    <definedName name="_____________obl185">#REF!</definedName>
    <definedName name="_____________obl186" localSheetId="11">#REF!</definedName>
    <definedName name="_____________obl186" localSheetId="25">#REF!</definedName>
    <definedName name="_____________obl186" localSheetId="12">#REF!</definedName>
    <definedName name="_____________obl186" localSheetId="14">#REF!</definedName>
    <definedName name="_____________obl186" localSheetId="30">#REF!</definedName>
    <definedName name="_____________obl186" localSheetId="31">#REF!</definedName>
    <definedName name="_____________obl186" localSheetId="32">#REF!</definedName>
    <definedName name="_____________obl186">#REF!</definedName>
    <definedName name="_____________obl187" localSheetId="11">#REF!</definedName>
    <definedName name="_____________obl187" localSheetId="25">#REF!</definedName>
    <definedName name="_____________obl187" localSheetId="12">#REF!</definedName>
    <definedName name="_____________obl187" localSheetId="14">#REF!</definedName>
    <definedName name="_____________obl187" localSheetId="30">#REF!</definedName>
    <definedName name="_____________obl187" localSheetId="31">#REF!</definedName>
    <definedName name="_____________obl187" localSheetId="32">#REF!</definedName>
    <definedName name="_____________obl187">#REF!</definedName>
    <definedName name="____________obl11" localSheetId="24">#REF!</definedName>
    <definedName name="____________obl11" localSheetId="25">#REF!</definedName>
    <definedName name="____________obl11" localSheetId="19">#REF!</definedName>
    <definedName name="____________obl11" localSheetId="30">#REF!</definedName>
    <definedName name="____________obl11" localSheetId="32">#REF!</definedName>
    <definedName name="____________obl11">#REF!</definedName>
    <definedName name="____________obl12" localSheetId="24">#REF!</definedName>
    <definedName name="____________obl12" localSheetId="25">#REF!</definedName>
    <definedName name="____________obl12" localSheetId="19">#REF!</definedName>
    <definedName name="____________obl12" localSheetId="30">#REF!</definedName>
    <definedName name="____________obl12" localSheetId="32">#REF!</definedName>
    <definedName name="____________obl12">#REF!</definedName>
    <definedName name="____________obl13" localSheetId="24">#REF!</definedName>
    <definedName name="____________obl13" localSheetId="25">#REF!</definedName>
    <definedName name="____________obl13" localSheetId="19">#REF!</definedName>
    <definedName name="____________obl13" localSheetId="30">#REF!</definedName>
    <definedName name="____________obl13" localSheetId="32">#REF!</definedName>
    <definedName name="____________obl13">#REF!</definedName>
    <definedName name="____________obl14" localSheetId="24">#REF!</definedName>
    <definedName name="____________obl14" localSheetId="25">#REF!</definedName>
    <definedName name="____________obl14" localSheetId="19">#REF!</definedName>
    <definedName name="____________obl14" localSheetId="30">#REF!</definedName>
    <definedName name="____________obl14" localSheetId="32">#REF!</definedName>
    <definedName name="____________obl14">#REF!</definedName>
    <definedName name="____________obl15" localSheetId="24">#REF!</definedName>
    <definedName name="____________obl15" localSheetId="25">#REF!</definedName>
    <definedName name="____________obl15" localSheetId="19">#REF!</definedName>
    <definedName name="____________obl15" localSheetId="30">#REF!</definedName>
    <definedName name="____________obl15" localSheetId="32">#REF!</definedName>
    <definedName name="____________obl15">#REF!</definedName>
    <definedName name="____________obl16" localSheetId="24">#REF!</definedName>
    <definedName name="____________obl16" localSheetId="25">#REF!</definedName>
    <definedName name="____________obl16" localSheetId="19">#REF!</definedName>
    <definedName name="____________obl16" localSheetId="30">#REF!</definedName>
    <definedName name="____________obl16" localSheetId="32">#REF!</definedName>
    <definedName name="____________obl16">#REF!</definedName>
    <definedName name="____________obl17" localSheetId="24">#REF!</definedName>
    <definedName name="____________obl17" localSheetId="25">#REF!</definedName>
    <definedName name="____________obl17" localSheetId="19">#REF!</definedName>
    <definedName name="____________obl17" localSheetId="30">#REF!</definedName>
    <definedName name="____________obl17" localSheetId="32">#REF!</definedName>
    <definedName name="____________obl17">#REF!</definedName>
    <definedName name="____________obl1710" localSheetId="24">#REF!</definedName>
    <definedName name="____________obl1710" localSheetId="25">#REF!</definedName>
    <definedName name="____________obl1710" localSheetId="19">#REF!</definedName>
    <definedName name="____________obl1710" localSheetId="30">#REF!</definedName>
    <definedName name="____________obl1710" localSheetId="32">#REF!</definedName>
    <definedName name="____________obl1710">#REF!</definedName>
    <definedName name="____________obl1711" localSheetId="24">#REF!</definedName>
    <definedName name="____________obl1711" localSheetId="25">#REF!</definedName>
    <definedName name="____________obl1711" localSheetId="19">#REF!</definedName>
    <definedName name="____________obl1711" localSheetId="30">#REF!</definedName>
    <definedName name="____________obl1711" localSheetId="32">#REF!</definedName>
    <definedName name="____________obl1711">#REF!</definedName>
    <definedName name="____________obl1712" localSheetId="24">#REF!</definedName>
    <definedName name="____________obl1712" localSheetId="25">#REF!</definedName>
    <definedName name="____________obl1712" localSheetId="19">#REF!</definedName>
    <definedName name="____________obl1712" localSheetId="30">#REF!</definedName>
    <definedName name="____________obl1712" localSheetId="32">#REF!</definedName>
    <definedName name="____________obl1712">#REF!</definedName>
    <definedName name="____________obl1713" localSheetId="24">#REF!</definedName>
    <definedName name="____________obl1713" localSheetId="25">#REF!</definedName>
    <definedName name="____________obl1713" localSheetId="19">#REF!</definedName>
    <definedName name="____________obl1713" localSheetId="30">#REF!</definedName>
    <definedName name="____________obl1713" localSheetId="32">#REF!</definedName>
    <definedName name="____________obl1713">#REF!</definedName>
    <definedName name="____________obl1714" localSheetId="24">#REF!</definedName>
    <definedName name="____________obl1714" localSheetId="25">#REF!</definedName>
    <definedName name="____________obl1714" localSheetId="19">#REF!</definedName>
    <definedName name="____________obl1714" localSheetId="30">#REF!</definedName>
    <definedName name="____________obl1714" localSheetId="32">#REF!</definedName>
    <definedName name="____________obl1714">#REF!</definedName>
    <definedName name="____________obl1715" localSheetId="24">#REF!</definedName>
    <definedName name="____________obl1715" localSheetId="25">#REF!</definedName>
    <definedName name="____________obl1715" localSheetId="19">#REF!</definedName>
    <definedName name="____________obl1715" localSheetId="30">#REF!</definedName>
    <definedName name="____________obl1715" localSheetId="32">#REF!</definedName>
    <definedName name="____________obl1715">#REF!</definedName>
    <definedName name="____________obl1716" localSheetId="24">#REF!</definedName>
    <definedName name="____________obl1716" localSheetId="25">#REF!</definedName>
    <definedName name="____________obl1716" localSheetId="19">#REF!</definedName>
    <definedName name="____________obl1716" localSheetId="30">#REF!</definedName>
    <definedName name="____________obl1716" localSheetId="32">#REF!</definedName>
    <definedName name="____________obl1716">#REF!</definedName>
    <definedName name="____________obl1717" localSheetId="24">#REF!</definedName>
    <definedName name="____________obl1717" localSheetId="25">#REF!</definedName>
    <definedName name="____________obl1717" localSheetId="19">#REF!</definedName>
    <definedName name="____________obl1717" localSheetId="30">#REF!</definedName>
    <definedName name="____________obl1717" localSheetId="32">#REF!</definedName>
    <definedName name="____________obl1717">#REF!</definedName>
    <definedName name="____________obl1718" localSheetId="24">#REF!</definedName>
    <definedName name="____________obl1718" localSheetId="25">#REF!</definedName>
    <definedName name="____________obl1718" localSheetId="19">#REF!</definedName>
    <definedName name="____________obl1718" localSheetId="30">#REF!</definedName>
    <definedName name="____________obl1718" localSheetId="32">#REF!</definedName>
    <definedName name="____________obl1718">#REF!</definedName>
    <definedName name="____________obl1719" localSheetId="24">#REF!</definedName>
    <definedName name="____________obl1719" localSheetId="25">#REF!</definedName>
    <definedName name="____________obl1719" localSheetId="19">#REF!</definedName>
    <definedName name="____________obl1719" localSheetId="30">#REF!</definedName>
    <definedName name="____________obl1719" localSheetId="32">#REF!</definedName>
    <definedName name="____________obl1719">#REF!</definedName>
    <definedName name="____________obl173" localSheetId="24">#REF!</definedName>
    <definedName name="____________obl173" localSheetId="25">#REF!</definedName>
    <definedName name="____________obl173" localSheetId="19">#REF!</definedName>
    <definedName name="____________obl173" localSheetId="30">#REF!</definedName>
    <definedName name="____________obl173" localSheetId="32">#REF!</definedName>
    <definedName name="____________obl173">#REF!</definedName>
    <definedName name="____________obl174" localSheetId="24">#REF!</definedName>
    <definedName name="____________obl174" localSheetId="25">#REF!</definedName>
    <definedName name="____________obl174" localSheetId="19">#REF!</definedName>
    <definedName name="____________obl174" localSheetId="30">#REF!</definedName>
    <definedName name="____________obl174" localSheetId="32">#REF!</definedName>
    <definedName name="____________obl174">#REF!</definedName>
    <definedName name="____________obl175" localSheetId="24">#REF!</definedName>
    <definedName name="____________obl175" localSheetId="25">#REF!</definedName>
    <definedName name="____________obl175" localSheetId="19">#REF!</definedName>
    <definedName name="____________obl175" localSheetId="30">#REF!</definedName>
    <definedName name="____________obl175" localSheetId="32">#REF!</definedName>
    <definedName name="____________obl175">#REF!</definedName>
    <definedName name="____________obl176" localSheetId="24">#REF!</definedName>
    <definedName name="____________obl176" localSheetId="25">#REF!</definedName>
    <definedName name="____________obl176" localSheetId="19">#REF!</definedName>
    <definedName name="____________obl176" localSheetId="30">#REF!</definedName>
    <definedName name="____________obl176" localSheetId="32">#REF!</definedName>
    <definedName name="____________obl176">#REF!</definedName>
    <definedName name="____________obl177" localSheetId="24">#REF!</definedName>
    <definedName name="____________obl177" localSheetId="25">#REF!</definedName>
    <definedName name="____________obl177" localSheetId="19">#REF!</definedName>
    <definedName name="____________obl177" localSheetId="30">#REF!</definedName>
    <definedName name="____________obl177" localSheetId="32">#REF!</definedName>
    <definedName name="____________obl177">#REF!</definedName>
    <definedName name="____________obl178" localSheetId="24">#REF!</definedName>
    <definedName name="____________obl178" localSheetId="25">#REF!</definedName>
    <definedName name="____________obl178" localSheetId="19">#REF!</definedName>
    <definedName name="____________obl178" localSheetId="30">#REF!</definedName>
    <definedName name="____________obl178" localSheetId="32">#REF!</definedName>
    <definedName name="____________obl178">#REF!</definedName>
    <definedName name="____________obl179" localSheetId="24">#REF!</definedName>
    <definedName name="____________obl179" localSheetId="25">#REF!</definedName>
    <definedName name="____________obl179" localSheetId="19">#REF!</definedName>
    <definedName name="____________obl179" localSheetId="30">#REF!</definedName>
    <definedName name="____________obl179" localSheetId="32">#REF!</definedName>
    <definedName name="____________obl179">#REF!</definedName>
    <definedName name="____________obl18" localSheetId="24">#REF!</definedName>
    <definedName name="____________obl18" localSheetId="25">#REF!</definedName>
    <definedName name="____________obl18" localSheetId="19">#REF!</definedName>
    <definedName name="____________obl18" localSheetId="30">#REF!</definedName>
    <definedName name="____________obl18" localSheetId="32">#REF!</definedName>
    <definedName name="____________obl18">#REF!</definedName>
    <definedName name="____________obl181" localSheetId="24">#REF!</definedName>
    <definedName name="____________obl181" localSheetId="25">#REF!</definedName>
    <definedName name="____________obl181" localSheetId="19">#REF!</definedName>
    <definedName name="____________obl181" localSheetId="30">#REF!</definedName>
    <definedName name="____________obl181" localSheetId="32">#REF!</definedName>
    <definedName name="____________obl181">#REF!</definedName>
    <definedName name="____________obl1816" localSheetId="24">#REF!</definedName>
    <definedName name="____________obl1816" localSheetId="25">#REF!</definedName>
    <definedName name="____________obl1816" localSheetId="19">#REF!</definedName>
    <definedName name="____________obl1816" localSheetId="30">#REF!</definedName>
    <definedName name="____________obl1816" localSheetId="32">#REF!</definedName>
    <definedName name="____________obl1816">#REF!</definedName>
    <definedName name="____________obl1820" localSheetId="24">#REF!</definedName>
    <definedName name="____________obl1820" localSheetId="25">#REF!</definedName>
    <definedName name="____________obl1820" localSheetId="19">#REF!</definedName>
    <definedName name="____________obl1820" localSheetId="30">#REF!</definedName>
    <definedName name="____________obl1820" localSheetId="32">#REF!</definedName>
    <definedName name="____________obl1820">#REF!</definedName>
    <definedName name="____________obl1821" localSheetId="24">#REF!</definedName>
    <definedName name="____________obl1821" localSheetId="25">#REF!</definedName>
    <definedName name="____________obl1821" localSheetId="19">#REF!</definedName>
    <definedName name="____________obl1821" localSheetId="30">#REF!</definedName>
    <definedName name="____________obl1821" localSheetId="32">#REF!</definedName>
    <definedName name="____________obl1821">#REF!</definedName>
    <definedName name="____________obl1822" localSheetId="24">#REF!</definedName>
    <definedName name="____________obl1822" localSheetId="25">#REF!</definedName>
    <definedName name="____________obl1822" localSheetId="19">#REF!</definedName>
    <definedName name="____________obl1822" localSheetId="30">#REF!</definedName>
    <definedName name="____________obl1822" localSheetId="32">#REF!</definedName>
    <definedName name="____________obl1822">#REF!</definedName>
    <definedName name="____________obl1823" localSheetId="24">#REF!</definedName>
    <definedName name="____________obl1823" localSheetId="25">#REF!</definedName>
    <definedName name="____________obl1823" localSheetId="19">#REF!</definedName>
    <definedName name="____________obl1823" localSheetId="30">#REF!</definedName>
    <definedName name="____________obl1823" localSheetId="32">#REF!</definedName>
    <definedName name="____________obl1823">#REF!</definedName>
    <definedName name="____________obl1824" localSheetId="24">#REF!</definedName>
    <definedName name="____________obl1824" localSheetId="25">#REF!</definedName>
    <definedName name="____________obl1824" localSheetId="19">#REF!</definedName>
    <definedName name="____________obl1824" localSheetId="30">#REF!</definedName>
    <definedName name="____________obl1824" localSheetId="32">#REF!</definedName>
    <definedName name="____________obl1824">#REF!</definedName>
    <definedName name="____________obl1825" localSheetId="24">#REF!</definedName>
    <definedName name="____________obl1825" localSheetId="25">#REF!</definedName>
    <definedName name="____________obl1825" localSheetId="19">#REF!</definedName>
    <definedName name="____________obl1825" localSheetId="30">#REF!</definedName>
    <definedName name="____________obl1825" localSheetId="32">#REF!</definedName>
    <definedName name="____________obl1825">#REF!</definedName>
    <definedName name="____________obl1826" localSheetId="24">#REF!</definedName>
    <definedName name="____________obl1826" localSheetId="25">#REF!</definedName>
    <definedName name="____________obl1826" localSheetId="19">#REF!</definedName>
    <definedName name="____________obl1826" localSheetId="30">#REF!</definedName>
    <definedName name="____________obl1826" localSheetId="32">#REF!</definedName>
    <definedName name="____________obl1826">#REF!</definedName>
    <definedName name="____________obl1827" localSheetId="24">#REF!</definedName>
    <definedName name="____________obl1827" localSheetId="25">#REF!</definedName>
    <definedName name="____________obl1827" localSheetId="19">#REF!</definedName>
    <definedName name="____________obl1827" localSheetId="30">#REF!</definedName>
    <definedName name="____________obl1827" localSheetId="32">#REF!</definedName>
    <definedName name="____________obl1827">#REF!</definedName>
    <definedName name="____________obl1828" localSheetId="24">#REF!</definedName>
    <definedName name="____________obl1828" localSheetId="25">#REF!</definedName>
    <definedName name="____________obl1828" localSheetId="19">#REF!</definedName>
    <definedName name="____________obl1828" localSheetId="30">#REF!</definedName>
    <definedName name="____________obl1828" localSheetId="32">#REF!</definedName>
    <definedName name="____________obl1828">#REF!</definedName>
    <definedName name="____________obl1829" localSheetId="24">#REF!</definedName>
    <definedName name="____________obl1829" localSheetId="25">#REF!</definedName>
    <definedName name="____________obl1829" localSheetId="19">#REF!</definedName>
    <definedName name="____________obl1829" localSheetId="30">#REF!</definedName>
    <definedName name="____________obl1829" localSheetId="32">#REF!</definedName>
    <definedName name="____________obl1829">#REF!</definedName>
    <definedName name="____________obl183" localSheetId="24">#REF!</definedName>
    <definedName name="____________obl183" localSheetId="25">#REF!</definedName>
    <definedName name="____________obl183" localSheetId="19">#REF!</definedName>
    <definedName name="____________obl183" localSheetId="30">#REF!</definedName>
    <definedName name="____________obl183" localSheetId="32">#REF!</definedName>
    <definedName name="____________obl183">#REF!</definedName>
    <definedName name="____________obl1831" localSheetId="24">#REF!</definedName>
    <definedName name="____________obl1831" localSheetId="25">#REF!</definedName>
    <definedName name="____________obl1831" localSheetId="19">#REF!</definedName>
    <definedName name="____________obl1831" localSheetId="30">#REF!</definedName>
    <definedName name="____________obl1831" localSheetId="32">#REF!</definedName>
    <definedName name="____________obl1831">#REF!</definedName>
    <definedName name="____________obl1832" localSheetId="24">#REF!</definedName>
    <definedName name="____________obl1832" localSheetId="25">#REF!</definedName>
    <definedName name="____________obl1832" localSheetId="19">#REF!</definedName>
    <definedName name="____________obl1832" localSheetId="30">#REF!</definedName>
    <definedName name="____________obl1832" localSheetId="32">#REF!</definedName>
    <definedName name="____________obl1832">#REF!</definedName>
    <definedName name="____________obl184" localSheetId="24">#REF!</definedName>
    <definedName name="____________obl184" localSheetId="25">#REF!</definedName>
    <definedName name="____________obl184" localSheetId="19">#REF!</definedName>
    <definedName name="____________obl184" localSheetId="30">#REF!</definedName>
    <definedName name="____________obl184" localSheetId="32">#REF!</definedName>
    <definedName name="____________obl184">#REF!</definedName>
    <definedName name="____________obl185" localSheetId="24">#REF!</definedName>
    <definedName name="____________obl185" localSheetId="25">#REF!</definedName>
    <definedName name="____________obl185" localSheetId="19">#REF!</definedName>
    <definedName name="____________obl185" localSheetId="30">#REF!</definedName>
    <definedName name="____________obl185" localSheetId="32">#REF!</definedName>
    <definedName name="____________obl185">#REF!</definedName>
    <definedName name="____________obl186" localSheetId="24">#REF!</definedName>
    <definedName name="____________obl186" localSheetId="25">#REF!</definedName>
    <definedName name="____________obl186" localSheetId="19">#REF!</definedName>
    <definedName name="____________obl186" localSheetId="30">#REF!</definedName>
    <definedName name="____________obl186" localSheetId="32">#REF!</definedName>
    <definedName name="____________obl186">#REF!</definedName>
    <definedName name="____________obl187" localSheetId="24">#REF!</definedName>
    <definedName name="____________obl187" localSheetId="25">#REF!</definedName>
    <definedName name="____________obl187" localSheetId="19">#REF!</definedName>
    <definedName name="____________obl187" localSheetId="30">#REF!</definedName>
    <definedName name="____________obl187" localSheetId="32">#REF!</definedName>
    <definedName name="____________obl187">#REF!</definedName>
    <definedName name="___________obl11" localSheetId="11">#REF!</definedName>
    <definedName name="___________obl11" localSheetId="24">#REF!</definedName>
    <definedName name="___________obl11" localSheetId="25">#REF!</definedName>
    <definedName name="___________obl11" localSheetId="12">#REF!</definedName>
    <definedName name="___________obl11" localSheetId="14">#REF!</definedName>
    <definedName name="___________obl11" localSheetId="30">#REF!</definedName>
    <definedName name="___________obl11" localSheetId="31">#REF!</definedName>
    <definedName name="___________obl11" localSheetId="32">#REF!</definedName>
    <definedName name="___________obl11">#REF!</definedName>
    <definedName name="___________obl12" localSheetId="11">#REF!</definedName>
    <definedName name="___________obl12" localSheetId="24">#REF!</definedName>
    <definedName name="___________obl12" localSheetId="25">#REF!</definedName>
    <definedName name="___________obl12" localSheetId="12">#REF!</definedName>
    <definedName name="___________obl12" localSheetId="14">#REF!</definedName>
    <definedName name="___________obl12" localSheetId="30">#REF!</definedName>
    <definedName name="___________obl12" localSheetId="31">#REF!</definedName>
    <definedName name="___________obl12" localSheetId="32">#REF!</definedName>
    <definedName name="___________obl12">#REF!</definedName>
    <definedName name="___________obl13" localSheetId="11">#REF!</definedName>
    <definedName name="___________obl13" localSheetId="24">#REF!</definedName>
    <definedName name="___________obl13" localSheetId="25">#REF!</definedName>
    <definedName name="___________obl13" localSheetId="12">#REF!</definedName>
    <definedName name="___________obl13" localSheetId="14">#REF!</definedName>
    <definedName name="___________obl13" localSheetId="30">#REF!</definedName>
    <definedName name="___________obl13" localSheetId="31">#REF!</definedName>
    <definedName name="___________obl13" localSheetId="32">#REF!</definedName>
    <definedName name="___________obl13">#REF!</definedName>
    <definedName name="___________obl14" localSheetId="11">#REF!</definedName>
    <definedName name="___________obl14" localSheetId="24">#REF!</definedName>
    <definedName name="___________obl14" localSheetId="25">#REF!</definedName>
    <definedName name="___________obl14" localSheetId="12">#REF!</definedName>
    <definedName name="___________obl14" localSheetId="14">#REF!</definedName>
    <definedName name="___________obl14" localSheetId="30">#REF!</definedName>
    <definedName name="___________obl14" localSheetId="31">#REF!</definedName>
    <definedName name="___________obl14" localSheetId="32">#REF!</definedName>
    <definedName name="___________obl14">#REF!</definedName>
    <definedName name="___________obl15" localSheetId="11">#REF!</definedName>
    <definedName name="___________obl15" localSheetId="24">#REF!</definedName>
    <definedName name="___________obl15" localSheetId="25">#REF!</definedName>
    <definedName name="___________obl15" localSheetId="12">#REF!</definedName>
    <definedName name="___________obl15" localSheetId="14">#REF!</definedName>
    <definedName name="___________obl15" localSheetId="30">#REF!</definedName>
    <definedName name="___________obl15" localSheetId="31">#REF!</definedName>
    <definedName name="___________obl15" localSheetId="32">#REF!</definedName>
    <definedName name="___________obl15">#REF!</definedName>
    <definedName name="___________obl16" localSheetId="11">#REF!</definedName>
    <definedName name="___________obl16" localSheetId="24">#REF!</definedName>
    <definedName name="___________obl16" localSheetId="25">#REF!</definedName>
    <definedName name="___________obl16" localSheetId="12">#REF!</definedName>
    <definedName name="___________obl16" localSheetId="14">#REF!</definedName>
    <definedName name="___________obl16" localSheetId="30">#REF!</definedName>
    <definedName name="___________obl16" localSheetId="31">#REF!</definedName>
    <definedName name="___________obl16" localSheetId="32">#REF!</definedName>
    <definedName name="___________obl16">#REF!</definedName>
    <definedName name="___________obl17" localSheetId="11">#REF!</definedName>
    <definedName name="___________obl17" localSheetId="24">#REF!</definedName>
    <definedName name="___________obl17" localSheetId="25">#REF!</definedName>
    <definedName name="___________obl17" localSheetId="12">#REF!</definedName>
    <definedName name="___________obl17" localSheetId="14">#REF!</definedName>
    <definedName name="___________obl17" localSheetId="30">#REF!</definedName>
    <definedName name="___________obl17" localSheetId="31">#REF!</definedName>
    <definedName name="___________obl17" localSheetId="32">#REF!</definedName>
    <definedName name="___________obl17">#REF!</definedName>
    <definedName name="___________obl1710" localSheetId="11">#REF!</definedName>
    <definedName name="___________obl1710" localSheetId="24">#REF!</definedName>
    <definedName name="___________obl1710" localSheetId="25">#REF!</definedName>
    <definedName name="___________obl1710" localSheetId="12">#REF!</definedName>
    <definedName name="___________obl1710" localSheetId="14">#REF!</definedName>
    <definedName name="___________obl1710" localSheetId="30">#REF!</definedName>
    <definedName name="___________obl1710" localSheetId="31">#REF!</definedName>
    <definedName name="___________obl1710" localSheetId="32">#REF!</definedName>
    <definedName name="___________obl1710">#REF!</definedName>
    <definedName name="___________obl1711" localSheetId="11">#REF!</definedName>
    <definedName name="___________obl1711" localSheetId="24">#REF!</definedName>
    <definedName name="___________obl1711" localSheetId="25">#REF!</definedName>
    <definedName name="___________obl1711" localSheetId="12">#REF!</definedName>
    <definedName name="___________obl1711" localSheetId="14">#REF!</definedName>
    <definedName name="___________obl1711" localSheetId="30">#REF!</definedName>
    <definedName name="___________obl1711" localSheetId="31">#REF!</definedName>
    <definedName name="___________obl1711" localSheetId="32">#REF!</definedName>
    <definedName name="___________obl1711">#REF!</definedName>
    <definedName name="___________obl1712" localSheetId="11">#REF!</definedName>
    <definedName name="___________obl1712" localSheetId="24">#REF!</definedName>
    <definedName name="___________obl1712" localSheetId="25">#REF!</definedName>
    <definedName name="___________obl1712" localSheetId="12">#REF!</definedName>
    <definedName name="___________obl1712" localSheetId="14">#REF!</definedName>
    <definedName name="___________obl1712" localSheetId="30">#REF!</definedName>
    <definedName name="___________obl1712" localSheetId="31">#REF!</definedName>
    <definedName name="___________obl1712" localSheetId="32">#REF!</definedName>
    <definedName name="___________obl1712">#REF!</definedName>
    <definedName name="___________obl1713" localSheetId="11">#REF!</definedName>
    <definedName name="___________obl1713" localSheetId="24">#REF!</definedName>
    <definedName name="___________obl1713" localSheetId="25">#REF!</definedName>
    <definedName name="___________obl1713" localSheetId="12">#REF!</definedName>
    <definedName name="___________obl1713" localSheetId="14">#REF!</definedName>
    <definedName name="___________obl1713" localSheetId="30">#REF!</definedName>
    <definedName name="___________obl1713" localSheetId="31">#REF!</definedName>
    <definedName name="___________obl1713" localSheetId="32">#REF!</definedName>
    <definedName name="___________obl1713">#REF!</definedName>
    <definedName name="___________obl1714" localSheetId="11">#REF!</definedName>
    <definedName name="___________obl1714" localSheetId="24">#REF!</definedName>
    <definedName name="___________obl1714" localSheetId="25">#REF!</definedName>
    <definedName name="___________obl1714" localSheetId="12">#REF!</definedName>
    <definedName name="___________obl1714" localSheetId="14">#REF!</definedName>
    <definedName name="___________obl1714" localSheetId="30">#REF!</definedName>
    <definedName name="___________obl1714" localSheetId="31">#REF!</definedName>
    <definedName name="___________obl1714" localSheetId="32">#REF!</definedName>
    <definedName name="___________obl1714">#REF!</definedName>
    <definedName name="___________obl1715" localSheetId="11">#REF!</definedName>
    <definedName name="___________obl1715" localSheetId="24">#REF!</definedName>
    <definedName name="___________obl1715" localSheetId="25">#REF!</definedName>
    <definedName name="___________obl1715" localSheetId="12">#REF!</definedName>
    <definedName name="___________obl1715" localSheetId="14">#REF!</definedName>
    <definedName name="___________obl1715" localSheetId="30">#REF!</definedName>
    <definedName name="___________obl1715" localSheetId="31">#REF!</definedName>
    <definedName name="___________obl1715" localSheetId="32">#REF!</definedName>
    <definedName name="___________obl1715">#REF!</definedName>
    <definedName name="___________obl1716" localSheetId="11">#REF!</definedName>
    <definedName name="___________obl1716" localSheetId="24">#REF!</definedName>
    <definedName name="___________obl1716" localSheetId="25">#REF!</definedName>
    <definedName name="___________obl1716" localSheetId="12">#REF!</definedName>
    <definedName name="___________obl1716" localSheetId="14">#REF!</definedName>
    <definedName name="___________obl1716" localSheetId="30">#REF!</definedName>
    <definedName name="___________obl1716" localSheetId="31">#REF!</definedName>
    <definedName name="___________obl1716" localSheetId="32">#REF!</definedName>
    <definedName name="___________obl1716">#REF!</definedName>
    <definedName name="___________obl1717" localSheetId="11">#REF!</definedName>
    <definedName name="___________obl1717" localSheetId="24">#REF!</definedName>
    <definedName name="___________obl1717" localSheetId="25">#REF!</definedName>
    <definedName name="___________obl1717" localSheetId="12">#REF!</definedName>
    <definedName name="___________obl1717" localSheetId="14">#REF!</definedName>
    <definedName name="___________obl1717" localSheetId="30">#REF!</definedName>
    <definedName name="___________obl1717" localSheetId="31">#REF!</definedName>
    <definedName name="___________obl1717" localSheetId="32">#REF!</definedName>
    <definedName name="___________obl1717">#REF!</definedName>
    <definedName name="___________obl1718" localSheetId="11">#REF!</definedName>
    <definedName name="___________obl1718" localSheetId="24">#REF!</definedName>
    <definedName name="___________obl1718" localSheetId="25">#REF!</definedName>
    <definedName name="___________obl1718" localSheetId="12">#REF!</definedName>
    <definedName name="___________obl1718" localSheetId="14">#REF!</definedName>
    <definedName name="___________obl1718" localSheetId="30">#REF!</definedName>
    <definedName name="___________obl1718" localSheetId="31">#REF!</definedName>
    <definedName name="___________obl1718" localSheetId="32">#REF!</definedName>
    <definedName name="___________obl1718">#REF!</definedName>
    <definedName name="___________obl1719" localSheetId="11">#REF!</definedName>
    <definedName name="___________obl1719" localSheetId="24">#REF!</definedName>
    <definedName name="___________obl1719" localSheetId="25">#REF!</definedName>
    <definedName name="___________obl1719" localSheetId="12">#REF!</definedName>
    <definedName name="___________obl1719" localSheetId="14">#REF!</definedName>
    <definedName name="___________obl1719" localSheetId="30">#REF!</definedName>
    <definedName name="___________obl1719" localSheetId="31">#REF!</definedName>
    <definedName name="___________obl1719" localSheetId="32">#REF!</definedName>
    <definedName name="___________obl1719">#REF!</definedName>
    <definedName name="___________obl173" localSheetId="11">#REF!</definedName>
    <definedName name="___________obl173" localSheetId="24">#REF!</definedName>
    <definedName name="___________obl173" localSheetId="25">#REF!</definedName>
    <definedName name="___________obl173" localSheetId="12">#REF!</definedName>
    <definedName name="___________obl173" localSheetId="14">#REF!</definedName>
    <definedName name="___________obl173" localSheetId="30">#REF!</definedName>
    <definedName name="___________obl173" localSheetId="31">#REF!</definedName>
    <definedName name="___________obl173" localSheetId="32">#REF!</definedName>
    <definedName name="___________obl173">#REF!</definedName>
    <definedName name="___________obl174" localSheetId="11">#REF!</definedName>
    <definedName name="___________obl174" localSheetId="24">#REF!</definedName>
    <definedName name="___________obl174" localSheetId="25">#REF!</definedName>
    <definedName name="___________obl174" localSheetId="12">#REF!</definedName>
    <definedName name="___________obl174" localSheetId="14">#REF!</definedName>
    <definedName name="___________obl174" localSheetId="30">#REF!</definedName>
    <definedName name="___________obl174" localSheetId="31">#REF!</definedName>
    <definedName name="___________obl174" localSheetId="32">#REF!</definedName>
    <definedName name="___________obl174">#REF!</definedName>
    <definedName name="___________obl175" localSheetId="11">#REF!</definedName>
    <definedName name="___________obl175" localSheetId="24">#REF!</definedName>
    <definedName name="___________obl175" localSheetId="25">#REF!</definedName>
    <definedName name="___________obl175" localSheetId="12">#REF!</definedName>
    <definedName name="___________obl175" localSheetId="14">#REF!</definedName>
    <definedName name="___________obl175" localSheetId="30">#REF!</definedName>
    <definedName name="___________obl175" localSheetId="31">#REF!</definedName>
    <definedName name="___________obl175" localSheetId="32">#REF!</definedName>
    <definedName name="___________obl175">#REF!</definedName>
    <definedName name="___________obl176" localSheetId="11">#REF!</definedName>
    <definedName name="___________obl176" localSheetId="24">#REF!</definedName>
    <definedName name="___________obl176" localSheetId="25">#REF!</definedName>
    <definedName name="___________obl176" localSheetId="12">#REF!</definedName>
    <definedName name="___________obl176" localSheetId="14">#REF!</definedName>
    <definedName name="___________obl176" localSheetId="30">#REF!</definedName>
    <definedName name="___________obl176" localSheetId="31">#REF!</definedName>
    <definedName name="___________obl176" localSheetId="32">#REF!</definedName>
    <definedName name="___________obl176">#REF!</definedName>
    <definedName name="___________obl177" localSheetId="11">#REF!</definedName>
    <definedName name="___________obl177" localSheetId="24">#REF!</definedName>
    <definedName name="___________obl177" localSheetId="25">#REF!</definedName>
    <definedName name="___________obl177" localSheetId="12">#REF!</definedName>
    <definedName name="___________obl177" localSheetId="14">#REF!</definedName>
    <definedName name="___________obl177" localSheetId="30">#REF!</definedName>
    <definedName name="___________obl177" localSheetId="31">#REF!</definedName>
    <definedName name="___________obl177" localSheetId="32">#REF!</definedName>
    <definedName name="___________obl177">#REF!</definedName>
    <definedName name="___________obl178" localSheetId="11">#REF!</definedName>
    <definedName name="___________obl178" localSheetId="24">#REF!</definedName>
    <definedName name="___________obl178" localSheetId="25">#REF!</definedName>
    <definedName name="___________obl178" localSheetId="12">#REF!</definedName>
    <definedName name="___________obl178" localSheetId="14">#REF!</definedName>
    <definedName name="___________obl178" localSheetId="30">#REF!</definedName>
    <definedName name="___________obl178" localSheetId="31">#REF!</definedName>
    <definedName name="___________obl178" localSheetId="32">#REF!</definedName>
    <definedName name="___________obl178">#REF!</definedName>
    <definedName name="___________obl179" localSheetId="11">#REF!</definedName>
    <definedName name="___________obl179" localSheetId="24">#REF!</definedName>
    <definedName name="___________obl179" localSheetId="25">#REF!</definedName>
    <definedName name="___________obl179" localSheetId="12">#REF!</definedName>
    <definedName name="___________obl179" localSheetId="14">#REF!</definedName>
    <definedName name="___________obl179" localSheetId="30">#REF!</definedName>
    <definedName name="___________obl179" localSheetId="31">#REF!</definedName>
    <definedName name="___________obl179" localSheetId="32">#REF!</definedName>
    <definedName name="___________obl179">#REF!</definedName>
    <definedName name="___________obl18" localSheetId="11">#REF!</definedName>
    <definedName name="___________obl18" localSheetId="24">#REF!</definedName>
    <definedName name="___________obl18" localSheetId="25">#REF!</definedName>
    <definedName name="___________obl18" localSheetId="12">#REF!</definedName>
    <definedName name="___________obl18" localSheetId="14">#REF!</definedName>
    <definedName name="___________obl18" localSheetId="30">#REF!</definedName>
    <definedName name="___________obl18" localSheetId="31">#REF!</definedName>
    <definedName name="___________obl18" localSheetId="32">#REF!</definedName>
    <definedName name="___________obl18">#REF!</definedName>
    <definedName name="___________obl181" localSheetId="11">#REF!</definedName>
    <definedName name="___________obl181" localSheetId="24">#REF!</definedName>
    <definedName name="___________obl181" localSheetId="25">#REF!</definedName>
    <definedName name="___________obl181" localSheetId="12">#REF!</definedName>
    <definedName name="___________obl181" localSheetId="14">#REF!</definedName>
    <definedName name="___________obl181" localSheetId="30">#REF!</definedName>
    <definedName name="___________obl181" localSheetId="31">#REF!</definedName>
    <definedName name="___________obl181" localSheetId="32">#REF!</definedName>
    <definedName name="___________obl181">#REF!</definedName>
    <definedName name="___________obl1816" localSheetId="11">#REF!</definedName>
    <definedName name="___________obl1816" localSheetId="24">#REF!</definedName>
    <definedName name="___________obl1816" localSheetId="25">#REF!</definedName>
    <definedName name="___________obl1816" localSheetId="12">#REF!</definedName>
    <definedName name="___________obl1816" localSheetId="14">#REF!</definedName>
    <definedName name="___________obl1816" localSheetId="30">#REF!</definedName>
    <definedName name="___________obl1816" localSheetId="31">#REF!</definedName>
    <definedName name="___________obl1816" localSheetId="32">#REF!</definedName>
    <definedName name="___________obl1816">#REF!</definedName>
    <definedName name="___________obl1820" localSheetId="11">#REF!</definedName>
    <definedName name="___________obl1820" localSheetId="24">#REF!</definedName>
    <definedName name="___________obl1820" localSheetId="25">#REF!</definedName>
    <definedName name="___________obl1820" localSheetId="12">#REF!</definedName>
    <definedName name="___________obl1820" localSheetId="14">#REF!</definedName>
    <definedName name="___________obl1820" localSheetId="30">#REF!</definedName>
    <definedName name="___________obl1820" localSheetId="31">#REF!</definedName>
    <definedName name="___________obl1820" localSheetId="32">#REF!</definedName>
    <definedName name="___________obl1820">#REF!</definedName>
    <definedName name="___________obl1821" localSheetId="11">#REF!</definedName>
    <definedName name="___________obl1821" localSheetId="24">#REF!</definedName>
    <definedName name="___________obl1821" localSheetId="25">#REF!</definedName>
    <definedName name="___________obl1821" localSheetId="12">#REF!</definedName>
    <definedName name="___________obl1821" localSheetId="14">#REF!</definedName>
    <definedName name="___________obl1821" localSheetId="30">#REF!</definedName>
    <definedName name="___________obl1821" localSheetId="31">#REF!</definedName>
    <definedName name="___________obl1821" localSheetId="32">#REF!</definedName>
    <definedName name="___________obl1821">#REF!</definedName>
    <definedName name="___________obl1822" localSheetId="11">#REF!</definedName>
    <definedName name="___________obl1822" localSheetId="24">#REF!</definedName>
    <definedName name="___________obl1822" localSheetId="25">#REF!</definedName>
    <definedName name="___________obl1822" localSheetId="12">#REF!</definedName>
    <definedName name="___________obl1822" localSheetId="14">#REF!</definedName>
    <definedName name="___________obl1822" localSheetId="30">#REF!</definedName>
    <definedName name="___________obl1822" localSheetId="31">#REF!</definedName>
    <definedName name="___________obl1822" localSheetId="32">#REF!</definedName>
    <definedName name="___________obl1822">#REF!</definedName>
    <definedName name="___________obl1823" localSheetId="11">#REF!</definedName>
    <definedName name="___________obl1823" localSheetId="24">#REF!</definedName>
    <definedName name="___________obl1823" localSheetId="25">#REF!</definedName>
    <definedName name="___________obl1823" localSheetId="12">#REF!</definedName>
    <definedName name="___________obl1823" localSheetId="14">#REF!</definedName>
    <definedName name="___________obl1823" localSheetId="30">#REF!</definedName>
    <definedName name="___________obl1823" localSheetId="31">#REF!</definedName>
    <definedName name="___________obl1823" localSheetId="32">#REF!</definedName>
    <definedName name="___________obl1823">#REF!</definedName>
    <definedName name="___________obl1824" localSheetId="11">#REF!</definedName>
    <definedName name="___________obl1824" localSheetId="24">#REF!</definedName>
    <definedName name="___________obl1824" localSheetId="25">#REF!</definedName>
    <definedName name="___________obl1824" localSheetId="12">#REF!</definedName>
    <definedName name="___________obl1824" localSheetId="14">#REF!</definedName>
    <definedName name="___________obl1824" localSheetId="30">#REF!</definedName>
    <definedName name="___________obl1824" localSheetId="31">#REF!</definedName>
    <definedName name="___________obl1824" localSheetId="32">#REF!</definedName>
    <definedName name="___________obl1824">#REF!</definedName>
    <definedName name="___________obl1825" localSheetId="11">#REF!</definedName>
    <definedName name="___________obl1825" localSheetId="24">#REF!</definedName>
    <definedName name="___________obl1825" localSheetId="25">#REF!</definedName>
    <definedName name="___________obl1825" localSheetId="12">#REF!</definedName>
    <definedName name="___________obl1825" localSheetId="14">#REF!</definedName>
    <definedName name="___________obl1825" localSheetId="30">#REF!</definedName>
    <definedName name="___________obl1825" localSheetId="31">#REF!</definedName>
    <definedName name="___________obl1825" localSheetId="32">#REF!</definedName>
    <definedName name="___________obl1825">#REF!</definedName>
    <definedName name="___________obl1826" localSheetId="11">#REF!</definedName>
    <definedName name="___________obl1826" localSheetId="24">#REF!</definedName>
    <definedName name="___________obl1826" localSheetId="25">#REF!</definedName>
    <definedName name="___________obl1826" localSheetId="12">#REF!</definedName>
    <definedName name="___________obl1826" localSheetId="14">#REF!</definedName>
    <definedName name="___________obl1826" localSheetId="30">#REF!</definedName>
    <definedName name="___________obl1826" localSheetId="31">#REF!</definedName>
    <definedName name="___________obl1826" localSheetId="32">#REF!</definedName>
    <definedName name="___________obl1826">#REF!</definedName>
    <definedName name="___________obl1827" localSheetId="11">#REF!</definedName>
    <definedName name="___________obl1827" localSheetId="24">#REF!</definedName>
    <definedName name="___________obl1827" localSheetId="25">#REF!</definedName>
    <definedName name="___________obl1827" localSheetId="12">#REF!</definedName>
    <definedName name="___________obl1827" localSheetId="14">#REF!</definedName>
    <definedName name="___________obl1827" localSheetId="30">#REF!</definedName>
    <definedName name="___________obl1827" localSheetId="31">#REF!</definedName>
    <definedName name="___________obl1827" localSheetId="32">#REF!</definedName>
    <definedName name="___________obl1827">#REF!</definedName>
    <definedName name="___________obl1828" localSheetId="11">#REF!</definedName>
    <definedName name="___________obl1828" localSheetId="24">#REF!</definedName>
    <definedName name="___________obl1828" localSheetId="25">#REF!</definedName>
    <definedName name="___________obl1828" localSheetId="12">#REF!</definedName>
    <definedName name="___________obl1828" localSheetId="14">#REF!</definedName>
    <definedName name="___________obl1828" localSheetId="30">#REF!</definedName>
    <definedName name="___________obl1828" localSheetId="31">#REF!</definedName>
    <definedName name="___________obl1828" localSheetId="32">#REF!</definedName>
    <definedName name="___________obl1828">#REF!</definedName>
    <definedName name="___________obl1829" localSheetId="11">#REF!</definedName>
    <definedName name="___________obl1829" localSheetId="24">#REF!</definedName>
    <definedName name="___________obl1829" localSheetId="25">#REF!</definedName>
    <definedName name="___________obl1829" localSheetId="12">#REF!</definedName>
    <definedName name="___________obl1829" localSheetId="14">#REF!</definedName>
    <definedName name="___________obl1829" localSheetId="30">#REF!</definedName>
    <definedName name="___________obl1829" localSheetId="31">#REF!</definedName>
    <definedName name="___________obl1829" localSheetId="32">#REF!</definedName>
    <definedName name="___________obl1829">#REF!</definedName>
    <definedName name="___________obl183" localSheetId="11">#REF!</definedName>
    <definedName name="___________obl183" localSheetId="24">#REF!</definedName>
    <definedName name="___________obl183" localSheetId="25">#REF!</definedName>
    <definedName name="___________obl183" localSheetId="12">#REF!</definedName>
    <definedName name="___________obl183" localSheetId="14">#REF!</definedName>
    <definedName name="___________obl183" localSheetId="30">#REF!</definedName>
    <definedName name="___________obl183" localSheetId="31">#REF!</definedName>
    <definedName name="___________obl183" localSheetId="32">#REF!</definedName>
    <definedName name="___________obl183">#REF!</definedName>
    <definedName name="___________obl1831" localSheetId="11">#REF!</definedName>
    <definedName name="___________obl1831" localSheetId="24">#REF!</definedName>
    <definedName name="___________obl1831" localSheetId="25">#REF!</definedName>
    <definedName name="___________obl1831" localSheetId="12">#REF!</definedName>
    <definedName name="___________obl1831" localSheetId="14">#REF!</definedName>
    <definedName name="___________obl1831" localSheetId="30">#REF!</definedName>
    <definedName name="___________obl1831" localSheetId="31">#REF!</definedName>
    <definedName name="___________obl1831" localSheetId="32">#REF!</definedName>
    <definedName name="___________obl1831">#REF!</definedName>
    <definedName name="___________obl1832" localSheetId="11">#REF!</definedName>
    <definedName name="___________obl1832" localSheetId="24">#REF!</definedName>
    <definedName name="___________obl1832" localSheetId="25">#REF!</definedName>
    <definedName name="___________obl1832" localSheetId="12">#REF!</definedName>
    <definedName name="___________obl1832" localSheetId="14">#REF!</definedName>
    <definedName name="___________obl1832" localSheetId="30">#REF!</definedName>
    <definedName name="___________obl1832" localSheetId="31">#REF!</definedName>
    <definedName name="___________obl1832" localSheetId="32">#REF!</definedName>
    <definedName name="___________obl1832">#REF!</definedName>
    <definedName name="___________obl184" localSheetId="11">#REF!</definedName>
    <definedName name="___________obl184" localSheetId="24">#REF!</definedName>
    <definedName name="___________obl184" localSheetId="25">#REF!</definedName>
    <definedName name="___________obl184" localSheetId="12">#REF!</definedName>
    <definedName name="___________obl184" localSheetId="14">#REF!</definedName>
    <definedName name="___________obl184" localSheetId="30">#REF!</definedName>
    <definedName name="___________obl184" localSheetId="31">#REF!</definedName>
    <definedName name="___________obl184" localSheetId="32">#REF!</definedName>
    <definedName name="___________obl184">#REF!</definedName>
    <definedName name="___________obl185" localSheetId="11">#REF!</definedName>
    <definedName name="___________obl185" localSheetId="24">#REF!</definedName>
    <definedName name="___________obl185" localSheetId="25">#REF!</definedName>
    <definedName name="___________obl185" localSheetId="12">#REF!</definedName>
    <definedName name="___________obl185" localSheetId="14">#REF!</definedName>
    <definedName name="___________obl185" localSheetId="30">#REF!</definedName>
    <definedName name="___________obl185" localSheetId="31">#REF!</definedName>
    <definedName name="___________obl185" localSheetId="32">#REF!</definedName>
    <definedName name="___________obl185">#REF!</definedName>
    <definedName name="___________obl186" localSheetId="11">#REF!</definedName>
    <definedName name="___________obl186" localSheetId="24">#REF!</definedName>
    <definedName name="___________obl186" localSheetId="25">#REF!</definedName>
    <definedName name="___________obl186" localSheetId="12">#REF!</definedName>
    <definedName name="___________obl186" localSheetId="14">#REF!</definedName>
    <definedName name="___________obl186" localSheetId="30">#REF!</definedName>
    <definedName name="___________obl186" localSheetId="31">#REF!</definedName>
    <definedName name="___________obl186" localSheetId="32">#REF!</definedName>
    <definedName name="___________obl186">#REF!</definedName>
    <definedName name="___________obl187" localSheetId="11">#REF!</definedName>
    <definedName name="___________obl187" localSheetId="24">#REF!</definedName>
    <definedName name="___________obl187" localSheetId="25">#REF!</definedName>
    <definedName name="___________obl187" localSheetId="12">#REF!</definedName>
    <definedName name="___________obl187" localSheetId="14">#REF!</definedName>
    <definedName name="___________obl187" localSheetId="30">#REF!</definedName>
    <definedName name="___________obl187" localSheetId="31">#REF!</definedName>
    <definedName name="___________obl187" localSheetId="32">#REF!</definedName>
    <definedName name="___________obl187">#REF!</definedName>
    <definedName name="__________obl11" localSheetId="11">#REF!</definedName>
    <definedName name="__________obl11" localSheetId="24">#REF!</definedName>
    <definedName name="__________obl11" localSheetId="25">#REF!</definedName>
    <definedName name="__________obl11" localSheetId="12">#REF!</definedName>
    <definedName name="__________obl11" localSheetId="14">#REF!</definedName>
    <definedName name="__________obl11" localSheetId="19">#REF!</definedName>
    <definedName name="__________obl11" localSheetId="30">#REF!</definedName>
    <definedName name="__________obl11" localSheetId="31">#REF!</definedName>
    <definedName name="__________obl11" localSheetId="32">#REF!</definedName>
    <definedName name="__________obl11">#REF!</definedName>
    <definedName name="__________obl12" localSheetId="11">#REF!</definedName>
    <definedName name="__________obl12" localSheetId="24">#REF!</definedName>
    <definedName name="__________obl12" localSheetId="25">#REF!</definedName>
    <definedName name="__________obl12" localSheetId="12">#REF!</definedName>
    <definedName name="__________obl12" localSheetId="14">#REF!</definedName>
    <definedName name="__________obl12" localSheetId="19">#REF!</definedName>
    <definedName name="__________obl12" localSheetId="30">#REF!</definedName>
    <definedName name="__________obl12" localSheetId="31">#REF!</definedName>
    <definedName name="__________obl12" localSheetId="32">#REF!</definedName>
    <definedName name="__________obl12">#REF!</definedName>
    <definedName name="__________obl13" localSheetId="11">#REF!</definedName>
    <definedName name="__________obl13" localSheetId="24">#REF!</definedName>
    <definedName name="__________obl13" localSheetId="25">#REF!</definedName>
    <definedName name="__________obl13" localSheetId="12">#REF!</definedName>
    <definedName name="__________obl13" localSheetId="14">#REF!</definedName>
    <definedName name="__________obl13" localSheetId="19">#REF!</definedName>
    <definedName name="__________obl13" localSheetId="30">#REF!</definedName>
    <definedName name="__________obl13" localSheetId="31">#REF!</definedName>
    <definedName name="__________obl13" localSheetId="32">#REF!</definedName>
    <definedName name="__________obl13">#REF!</definedName>
    <definedName name="__________obl14" localSheetId="11">#REF!</definedName>
    <definedName name="__________obl14" localSheetId="24">#REF!</definedName>
    <definedName name="__________obl14" localSheetId="25">#REF!</definedName>
    <definedName name="__________obl14" localSheetId="12">#REF!</definedName>
    <definedName name="__________obl14" localSheetId="14">#REF!</definedName>
    <definedName name="__________obl14" localSheetId="19">#REF!</definedName>
    <definedName name="__________obl14" localSheetId="30">#REF!</definedName>
    <definedName name="__________obl14" localSheetId="31">#REF!</definedName>
    <definedName name="__________obl14" localSheetId="32">#REF!</definedName>
    <definedName name="__________obl14">#REF!</definedName>
    <definedName name="__________obl15" localSheetId="11">#REF!</definedName>
    <definedName name="__________obl15" localSheetId="24">#REF!</definedName>
    <definedName name="__________obl15" localSheetId="25">#REF!</definedName>
    <definedName name="__________obl15" localSheetId="12">#REF!</definedName>
    <definedName name="__________obl15" localSheetId="14">#REF!</definedName>
    <definedName name="__________obl15" localSheetId="19">#REF!</definedName>
    <definedName name="__________obl15" localSheetId="30">#REF!</definedName>
    <definedName name="__________obl15" localSheetId="31">#REF!</definedName>
    <definedName name="__________obl15" localSheetId="32">#REF!</definedName>
    <definedName name="__________obl15">#REF!</definedName>
    <definedName name="__________obl16" localSheetId="11">#REF!</definedName>
    <definedName name="__________obl16" localSheetId="24">#REF!</definedName>
    <definedName name="__________obl16" localSheetId="25">#REF!</definedName>
    <definedName name="__________obl16" localSheetId="12">#REF!</definedName>
    <definedName name="__________obl16" localSheetId="14">#REF!</definedName>
    <definedName name="__________obl16" localSheetId="19">#REF!</definedName>
    <definedName name="__________obl16" localSheetId="30">#REF!</definedName>
    <definedName name="__________obl16" localSheetId="31">#REF!</definedName>
    <definedName name="__________obl16" localSheetId="32">#REF!</definedName>
    <definedName name="__________obl16">#REF!</definedName>
    <definedName name="__________obl17" localSheetId="11">#REF!</definedName>
    <definedName name="__________obl17" localSheetId="24">#REF!</definedName>
    <definedName name="__________obl17" localSheetId="25">#REF!</definedName>
    <definedName name="__________obl17" localSheetId="12">#REF!</definedName>
    <definedName name="__________obl17" localSheetId="14">#REF!</definedName>
    <definedName name="__________obl17" localSheetId="19">#REF!</definedName>
    <definedName name="__________obl17" localSheetId="30">#REF!</definedName>
    <definedName name="__________obl17" localSheetId="31">#REF!</definedName>
    <definedName name="__________obl17" localSheetId="32">#REF!</definedName>
    <definedName name="__________obl17">#REF!</definedName>
    <definedName name="__________obl1710" localSheetId="11">#REF!</definedName>
    <definedName name="__________obl1710" localSheetId="24">#REF!</definedName>
    <definedName name="__________obl1710" localSheetId="25">#REF!</definedName>
    <definedName name="__________obl1710" localSheetId="12">#REF!</definedName>
    <definedName name="__________obl1710" localSheetId="14">#REF!</definedName>
    <definedName name="__________obl1710" localSheetId="19">#REF!</definedName>
    <definedName name="__________obl1710" localSheetId="30">#REF!</definedName>
    <definedName name="__________obl1710" localSheetId="31">#REF!</definedName>
    <definedName name="__________obl1710" localSheetId="32">#REF!</definedName>
    <definedName name="__________obl1710">#REF!</definedName>
    <definedName name="__________obl1711" localSheetId="11">#REF!</definedName>
    <definedName name="__________obl1711" localSheetId="24">#REF!</definedName>
    <definedName name="__________obl1711" localSheetId="25">#REF!</definedName>
    <definedName name="__________obl1711" localSheetId="12">#REF!</definedName>
    <definedName name="__________obl1711" localSheetId="14">#REF!</definedName>
    <definedName name="__________obl1711" localSheetId="19">#REF!</definedName>
    <definedName name="__________obl1711" localSheetId="30">#REF!</definedName>
    <definedName name="__________obl1711" localSheetId="31">#REF!</definedName>
    <definedName name="__________obl1711" localSheetId="32">#REF!</definedName>
    <definedName name="__________obl1711">#REF!</definedName>
    <definedName name="__________obl1712" localSheetId="11">#REF!</definedName>
    <definedName name="__________obl1712" localSheetId="24">#REF!</definedName>
    <definedName name="__________obl1712" localSheetId="25">#REF!</definedName>
    <definedName name="__________obl1712" localSheetId="12">#REF!</definedName>
    <definedName name="__________obl1712" localSheetId="14">#REF!</definedName>
    <definedName name="__________obl1712" localSheetId="19">#REF!</definedName>
    <definedName name="__________obl1712" localSheetId="30">#REF!</definedName>
    <definedName name="__________obl1712" localSheetId="31">#REF!</definedName>
    <definedName name="__________obl1712" localSheetId="32">#REF!</definedName>
    <definedName name="__________obl1712">#REF!</definedName>
    <definedName name="__________obl1713" localSheetId="11">#REF!</definedName>
    <definedName name="__________obl1713" localSheetId="24">#REF!</definedName>
    <definedName name="__________obl1713" localSheetId="25">#REF!</definedName>
    <definedName name="__________obl1713" localSheetId="12">#REF!</definedName>
    <definedName name="__________obl1713" localSheetId="14">#REF!</definedName>
    <definedName name="__________obl1713" localSheetId="19">#REF!</definedName>
    <definedName name="__________obl1713" localSheetId="30">#REF!</definedName>
    <definedName name="__________obl1713" localSheetId="31">#REF!</definedName>
    <definedName name="__________obl1713" localSheetId="32">#REF!</definedName>
    <definedName name="__________obl1713">#REF!</definedName>
    <definedName name="__________obl1714" localSheetId="11">#REF!</definedName>
    <definedName name="__________obl1714" localSheetId="24">#REF!</definedName>
    <definedName name="__________obl1714" localSheetId="25">#REF!</definedName>
    <definedName name="__________obl1714" localSheetId="12">#REF!</definedName>
    <definedName name="__________obl1714" localSheetId="14">#REF!</definedName>
    <definedName name="__________obl1714" localSheetId="19">#REF!</definedName>
    <definedName name="__________obl1714" localSheetId="30">#REF!</definedName>
    <definedName name="__________obl1714" localSheetId="31">#REF!</definedName>
    <definedName name="__________obl1714" localSheetId="32">#REF!</definedName>
    <definedName name="__________obl1714">#REF!</definedName>
    <definedName name="__________obl1715" localSheetId="11">#REF!</definedName>
    <definedName name="__________obl1715" localSheetId="24">#REF!</definedName>
    <definedName name="__________obl1715" localSheetId="25">#REF!</definedName>
    <definedName name="__________obl1715" localSheetId="12">#REF!</definedName>
    <definedName name="__________obl1715" localSheetId="14">#REF!</definedName>
    <definedName name="__________obl1715" localSheetId="19">#REF!</definedName>
    <definedName name="__________obl1715" localSheetId="30">#REF!</definedName>
    <definedName name="__________obl1715" localSheetId="31">#REF!</definedName>
    <definedName name="__________obl1715" localSheetId="32">#REF!</definedName>
    <definedName name="__________obl1715">#REF!</definedName>
    <definedName name="__________obl1716" localSheetId="11">#REF!</definedName>
    <definedName name="__________obl1716" localSheetId="24">#REF!</definedName>
    <definedName name="__________obl1716" localSheetId="25">#REF!</definedName>
    <definedName name="__________obl1716" localSheetId="12">#REF!</definedName>
    <definedName name="__________obl1716" localSheetId="14">#REF!</definedName>
    <definedName name="__________obl1716" localSheetId="19">#REF!</definedName>
    <definedName name="__________obl1716" localSheetId="30">#REF!</definedName>
    <definedName name="__________obl1716" localSheetId="31">#REF!</definedName>
    <definedName name="__________obl1716" localSheetId="32">#REF!</definedName>
    <definedName name="__________obl1716">#REF!</definedName>
    <definedName name="__________obl1717" localSheetId="11">#REF!</definedName>
    <definedName name="__________obl1717" localSheetId="24">#REF!</definedName>
    <definedName name="__________obl1717" localSheetId="25">#REF!</definedName>
    <definedName name="__________obl1717" localSheetId="12">#REF!</definedName>
    <definedName name="__________obl1717" localSheetId="14">#REF!</definedName>
    <definedName name="__________obl1717" localSheetId="19">#REF!</definedName>
    <definedName name="__________obl1717" localSheetId="30">#REF!</definedName>
    <definedName name="__________obl1717" localSheetId="31">#REF!</definedName>
    <definedName name="__________obl1717" localSheetId="32">#REF!</definedName>
    <definedName name="__________obl1717">#REF!</definedName>
    <definedName name="__________obl1718" localSheetId="11">#REF!</definedName>
    <definedName name="__________obl1718" localSheetId="24">#REF!</definedName>
    <definedName name="__________obl1718" localSheetId="25">#REF!</definedName>
    <definedName name="__________obl1718" localSheetId="12">#REF!</definedName>
    <definedName name="__________obl1718" localSheetId="14">#REF!</definedName>
    <definedName name="__________obl1718" localSheetId="19">#REF!</definedName>
    <definedName name="__________obl1718" localSheetId="30">#REF!</definedName>
    <definedName name="__________obl1718" localSheetId="31">#REF!</definedName>
    <definedName name="__________obl1718" localSheetId="32">#REF!</definedName>
    <definedName name="__________obl1718">#REF!</definedName>
    <definedName name="__________obl1719" localSheetId="11">#REF!</definedName>
    <definedName name="__________obl1719" localSheetId="24">#REF!</definedName>
    <definedName name="__________obl1719" localSheetId="25">#REF!</definedName>
    <definedName name="__________obl1719" localSheetId="12">#REF!</definedName>
    <definedName name="__________obl1719" localSheetId="14">#REF!</definedName>
    <definedName name="__________obl1719" localSheetId="19">#REF!</definedName>
    <definedName name="__________obl1719" localSheetId="30">#REF!</definedName>
    <definedName name="__________obl1719" localSheetId="31">#REF!</definedName>
    <definedName name="__________obl1719" localSheetId="32">#REF!</definedName>
    <definedName name="__________obl1719">#REF!</definedName>
    <definedName name="__________obl173" localSheetId="11">#REF!</definedName>
    <definedName name="__________obl173" localSheetId="24">#REF!</definedName>
    <definedName name="__________obl173" localSheetId="25">#REF!</definedName>
    <definedName name="__________obl173" localSheetId="12">#REF!</definedName>
    <definedName name="__________obl173" localSheetId="14">#REF!</definedName>
    <definedName name="__________obl173" localSheetId="19">#REF!</definedName>
    <definedName name="__________obl173" localSheetId="30">#REF!</definedName>
    <definedName name="__________obl173" localSheetId="31">#REF!</definedName>
    <definedName name="__________obl173" localSheetId="32">#REF!</definedName>
    <definedName name="__________obl173">#REF!</definedName>
    <definedName name="__________obl174" localSheetId="11">#REF!</definedName>
    <definedName name="__________obl174" localSheetId="24">#REF!</definedName>
    <definedName name="__________obl174" localSheetId="25">#REF!</definedName>
    <definedName name="__________obl174" localSheetId="12">#REF!</definedName>
    <definedName name="__________obl174" localSheetId="14">#REF!</definedName>
    <definedName name="__________obl174" localSheetId="19">#REF!</definedName>
    <definedName name="__________obl174" localSheetId="30">#REF!</definedName>
    <definedName name="__________obl174" localSheetId="31">#REF!</definedName>
    <definedName name="__________obl174" localSheetId="32">#REF!</definedName>
    <definedName name="__________obl174">#REF!</definedName>
    <definedName name="__________obl175" localSheetId="11">#REF!</definedName>
    <definedName name="__________obl175" localSheetId="24">#REF!</definedName>
    <definedName name="__________obl175" localSheetId="25">#REF!</definedName>
    <definedName name="__________obl175" localSheetId="12">#REF!</definedName>
    <definedName name="__________obl175" localSheetId="14">#REF!</definedName>
    <definedName name="__________obl175" localSheetId="19">#REF!</definedName>
    <definedName name="__________obl175" localSheetId="30">#REF!</definedName>
    <definedName name="__________obl175" localSheetId="31">#REF!</definedName>
    <definedName name="__________obl175" localSheetId="32">#REF!</definedName>
    <definedName name="__________obl175">#REF!</definedName>
    <definedName name="__________obl176" localSheetId="11">#REF!</definedName>
    <definedName name="__________obl176" localSheetId="24">#REF!</definedName>
    <definedName name="__________obl176" localSheetId="25">#REF!</definedName>
    <definedName name="__________obl176" localSheetId="12">#REF!</definedName>
    <definedName name="__________obl176" localSheetId="14">#REF!</definedName>
    <definedName name="__________obl176" localSheetId="19">#REF!</definedName>
    <definedName name="__________obl176" localSheetId="30">#REF!</definedName>
    <definedName name="__________obl176" localSheetId="31">#REF!</definedName>
    <definedName name="__________obl176" localSheetId="32">#REF!</definedName>
    <definedName name="__________obl176">#REF!</definedName>
    <definedName name="__________obl177" localSheetId="11">#REF!</definedName>
    <definedName name="__________obl177" localSheetId="24">#REF!</definedName>
    <definedName name="__________obl177" localSheetId="25">#REF!</definedName>
    <definedName name="__________obl177" localSheetId="12">#REF!</definedName>
    <definedName name="__________obl177" localSheetId="14">#REF!</definedName>
    <definedName name="__________obl177" localSheetId="19">#REF!</definedName>
    <definedName name="__________obl177" localSheetId="30">#REF!</definedName>
    <definedName name="__________obl177" localSheetId="31">#REF!</definedName>
    <definedName name="__________obl177" localSheetId="32">#REF!</definedName>
    <definedName name="__________obl177">#REF!</definedName>
    <definedName name="__________obl178" localSheetId="11">#REF!</definedName>
    <definedName name="__________obl178" localSheetId="24">#REF!</definedName>
    <definedName name="__________obl178" localSheetId="25">#REF!</definedName>
    <definedName name="__________obl178" localSheetId="12">#REF!</definedName>
    <definedName name="__________obl178" localSheetId="14">#REF!</definedName>
    <definedName name="__________obl178" localSheetId="19">#REF!</definedName>
    <definedName name="__________obl178" localSheetId="30">#REF!</definedName>
    <definedName name="__________obl178" localSheetId="31">#REF!</definedName>
    <definedName name="__________obl178" localSheetId="32">#REF!</definedName>
    <definedName name="__________obl178">#REF!</definedName>
    <definedName name="__________obl179" localSheetId="11">#REF!</definedName>
    <definedName name="__________obl179" localSheetId="24">#REF!</definedName>
    <definedName name="__________obl179" localSheetId="25">#REF!</definedName>
    <definedName name="__________obl179" localSheetId="12">#REF!</definedName>
    <definedName name="__________obl179" localSheetId="14">#REF!</definedName>
    <definedName name="__________obl179" localSheetId="19">#REF!</definedName>
    <definedName name="__________obl179" localSheetId="30">#REF!</definedName>
    <definedName name="__________obl179" localSheetId="31">#REF!</definedName>
    <definedName name="__________obl179" localSheetId="32">#REF!</definedName>
    <definedName name="__________obl179">#REF!</definedName>
    <definedName name="__________obl18" localSheetId="11">#REF!</definedName>
    <definedName name="__________obl18" localSheetId="24">#REF!</definedName>
    <definedName name="__________obl18" localSheetId="25">#REF!</definedName>
    <definedName name="__________obl18" localSheetId="12">#REF!</definedName>
    <definedName name="__________obl18" localSheetId="14">#REF!</definedName>
    <definedName name="__________obl18" localSheetId="19">#REF!</definedName>
    <definedName name="__________obl18" localSheetId="30">#REF!</definedName>
    <definedName name="__________obl18" localSheetId="31">#REF!</definedName>
    <definedName name="__________obl18" localSheetId="32">#REF!</definedName>
    <definedName name="__________obl18">#REF!</definedName>
    <definedName name="__________obl181" localSheetId="11">#REF!</definedName>
    <definedName name="__________obl181" localSheetId="24">#REF!</definedName>
    <definedName name="__________obl181" localSheetId="25">#REF!</definedName>
    <definedName name="__________obl181" localSheetId="12">#REF!</definedName>
    <definedName name="__________obl181" localSheetId="14">#REF!</definedName>
    <definedName name="__________obl181" localSheetId="19">#REF!</definedName>
    <definedName name="__________obl181" localSheetId="30">#REF!</definedName>
    <definedName name="__________obl181" localSheetId="31">#REF!</definedName>
    <definedName name="__________obl181" localSheetId="32">#REF!</definedName>
    <definedName name="__________obl181">#REF!</definedName>
    <definedName name="__________obl1816" localSheetId="11">#REF!</definedName>
    <definedName name="__________obl1816" localSheetId="24">#REF!</definedName>
    <definedName name="__________obl1816" localSheetId="25">#REF!</definedName>
    <definedName name="__________obl1816" localSheetId="12">#REF!</definedName>
    <definedName name="__________obl1816" localSheetId="14">#REF!</definedName>
    <definedName name="__________obl1816" localSheetId="19">#REF!</definedName>
    <definedName name="__________obl1816" localSheetId="30">#REF!</definedName>
    <definedName name="__________obl1816" localSheetId="31">#REF!</definedName>
    <definedName name="__________obl1816" localSheetId="32">#REF!</definedName>
    <definedName name="__________obl1816">#REF!</definedName>
    <definedName name="__________obl1820" localSheetId="11">#REF!</definedName>
    <definedName name="__________obl1820" localSheetId="24">#REF!</definedName>
    <definedName name="__________obl1820" localSheetId="25">#REF!</definedName>
    <definedName name="__________obl1820" localSheetId="12">#REF!</definedName>
    <definedName name="__________obl1820" localSheetId="14">#REF!</definedName>
    <definedName name="__________obl1820" localSheetId="19">#REF!</definedName>
    <definedName name="__________obl1820" localSheetId="30">#REF!</definedName>
    <definedName name="__________obl1820" localSheetId="31">#REF!</definedName>
    <definedName name="__________obl1820" localSheetId="32">#REF!</definedName>
    <definedName name="__________obl1820">#REF!</definedName>
    <definedName name="__________obl1821" localSheetId="11">#REF!</definedName>
    <definedName name="__________obl1821" localSheetId="24">#REF!</definedName>
    <definedName name="__________obl1821" localSheetId="25">#REF!</definedName>
    <definedName name="__________obl1821" localSheetId="12">#REF!</definedName>
    <definedName name="__________obl1821" localSheetId="14">#REF!</definedName>
    <definedName name="__________obl1821" localSheetId="19">#REF!</definedName>
    <definedName name="__________obl1821" localSheetId="30">#REF!</definedName>
    <definedName name="__________obl1821" localSheetId="31">#REF!</definedName>
    <definedName name="__________obl1821" localSheetId="32">#REF!</definedName>
    <definedName name="__________obl1821">#REF!</definedName>
    <definedName name="__________obl1822" localSheetId="11">#REF!</definedName>
    <definedName name="__________obl1822" localSheetId="24">#REF!</definedName>
    <definedName name="__________obl1822" localSheetId="25">#REF!</definedName>
    <definedName name="__________obl1822" localSheetId="12">#REF!</definedName>
    <definedName name="__________obl1822" localSheetId="14">#REF!</definedName>
    <definedName name="__________obl1822" localSheetId="19">#REF!</definedName>
    <definedName name="__________obl1822" localSheetId="30">#REF!</definedName>
    <definedName name="__________obl1822" localSheetId="31">#REF!</definedName>
    <definedName name="__________obl1822" localSheetId="32">#REF!</definedName>
    <definedName name="__________obl1822">#REF!</definedName>
    <definedName name="__________obl1823" localSheetId="11">#REF!</definedName>
    <definedName name="__________obl1823" localSheetId="24">#REF!</definedName>
    <definedName name="__________obl1823" localSheetId="25">#REF!</definedName>
    <definedName name="__________obl1823" localSheetId="12">#REF!</definedName>
    <definedName name="__________obl1823" localSheetId="14">#REF!</definedName>
    <definedName name="__________obl1823" localSheetId="19">#REF!</definedName>
    <definedName name="__________obl1823" localSheetId="30">#REF!</definedName>
    <definedName name="__________obl1823" localSheetId="31">#REF!</definedName>
    <definedName name="__________obl1823" localSheetId="32">#REF!</definedName>
    <definedName name="__________obl1823">#REF!</definedName>
    <definedName name="__________obl1824" localSheetId="11">#REF!</definedName>
    <definedName name="__________obl1824" localSheetId="24">#REF!</definedName>
    <definedName name="__________obl1824" localSheetId="25">#REF!</definedName>
    <definedName name="__________obl1824" localSheetId="12">#REF!</definedName>
    <definedName name="__________obl1824" localSheetId="14">#REF!</definedName>
    <definedName name="__________obl1824" localSheetId="19">#REF!</definedName>
    <definedName name="__________obl1824" localSheetId="30">#REF!</definedName>
    <definedName name="__________obl1824" localSheetId="31">#REF!</definedName>
    <definedName name="__________obl1824" localSheetId="32">#REF!</definedName>
    <definedName name="__________obl1824">#REF!</definedName>
    <definedName name="__________obl1825" localSheetId="11">#REF!</definedName>
    <definedName name="__________obl1825" localSheetId="24">#REF!</definedName>
    <definedName name="__________obl1825" localSheetId="25">#REF!</definedName>
    <definedName name="__________obl1825" localSheetId="12">#REF!</definedName>
    <definedName name="__________obl1825" localSheetId="14">#REF!</definedName>
    <definedName name="__________obl1825" localSheetId="19">#REF!</definedName>
    <definedName name="__________obl1825" localSheetId="30">#REF!</definedName>
    <definedName name="__________obl1825" localSheetId="31">#REF!</definedName>
    <definedName name="__________obl1825" localSheetId="32">#REF!</definedName>
    <definedName name="__________obl1825">#REF!</definedName>
    <definedName name="__________obl1826" localSheetId="11">#REF!</definedName>
    <definedName name="__________obl1826" localSheetId="24">#REF!</definedName>
    <definedName name="__________obl1826" localSheetId="25">#REF!</definedName>
    <definedName name="__________obl1826" localSheetId="12">#REF!</definedName>
    <definedName name="__________obl1826" localSheetId="14">#REF!</definedName>
    <definedName name="__________obl1826" localSheetId="19">#REF!</definedName>
    <definedName name="__________obl1826" localSheetId="30">#REF!</definedName>
    <definedName name="__________obl1826" localSheetId="31">#REF!</definedName>
    <definedName name="__________obl1826" localSheetId="32">#REF!</definedName>
    <definedName name="__________obl1826">#REF!</definedName>
    <definedName name="__________obl1827" localSheetId="11">#REF!</definedName>
    <definedName name="__________obl1827" localSheetId="24">#REF!</definedName>
    <definedName name="__________obl1827" localSheetId="25">#REF!</definedName>
    <definedName name="__________obl1827" localSheetId="12">#REF!</definedName>
    <definedName name="__________obl1827" localSheetId="14">#REF!</definedName>
    <definedName name="__________obl1827" localSheetId="19">#REF!</definedName>
    <definedName name="__________obl1827" localSheetId="30">#REF!</definedName>
    <definedName name="__________obl1827" localSheetId="31">#REF!</definedName>
    <definedName name="__________obl1827" localSheetId="32">#REF!</definedName>
    <definedName name="__________obl1827">#REF!</definedName>
    <definedName name="__________obl1828" localSheetId="11">#REF!</definedName>
    <definedName name="__________obl1828" localSheetId="24">#REF!</definedName>
    <definedName name="__________obl1828" localSheetId="25">#REF!</definedName>
    <definedName name="__________obl1828" localSheetId="12">#REF!</definedName>
    <definedName name="__________obl1828" localSheetId="14">#REF!</definedName>
    <definedName name="__________obl1828" localSheetId="19">#REF!</definedName>
    <definedName name="__________obl1828" localSheetId="30">#REF!</definedName>
    <definedName name="__________obl1828" localSheetId="31">#REF!</definedName>
    <definedName name="__________obl1828" localSheetId="32">#REF!</definedName>
    <definedName name="__________obl1828">#REF!</definedName>
    <definedName name="__________obl1829" localSheetId="11">#REF!</definedName>
    <definedName name="__________obl1829" localSheetId="24">#REF!</definedName>
    <definedName name="__________obl1829" localSheetId="25">#REF!</definedName>
    <definedName name="__________obl1829" localSheetId="12">#REF!</definedName>
    <definedName name="__________obl1829" localSheetId="14">#REF!</definedName>
    <definedName name="__________obl1829" localSheetId="19">#REF!</definedName>
    <definedName name="__________obl1829" localSheetId="30">#REF!</definedName>
    <definedName name="__________obl1829" localSheetId="31">#REF!</definedName>
    <definedName name="__________obl1829" localSheetId="32">#REF!</definedName>
    <definedName name="__________obl1829">#REF!</definedName>
    <definedName name="__________obl183" localSheetId="11">#REF!</definedName>
    <definedName name="__________obl183" localSheetId="24">#REF!</definedName>
    <definedName name="__________obl183" localSheetId="25">#REF!</definedName>
    <definedName name="__________obl183" localSheetId="12">#REF!</definedName>
    <definedName name="__________obl183" localSheetId="14">#REF!</definedName>
    <definedName name="__________obl183" localSheetId="19">#REF!</definedName>
    <definedName name="__________obl183" localSheetId="30">#REF!</definedName>
    <definedName name="__________obl183" localSheetId="31">#REF!</definedName>
    <definedName name="__________obl183" localSheetId="32">#REF!</definedName>
    <definedName name="__________obl183">#REF!</definedName>
    <definedName name="__________obl1831" localSheetId="11">#REF!</definedName>
    <definedName name="__________obl1831" localSheetId="24">#REF!</definedName>
    <definedName name="__________obl1831" localSheetId="25">#REF!</definedName>
    <definedName name="__________obl1831" localSheetId="12">#REF!</definedName>
    <definedName name="__________obl1831" localSheetId="14">#REF!</definedName>
    <definedName name="__________obl1831" localSheetId="19">#REF!</definedName>
    <definedName name="__________obl1831" localSheetId="30">#REF!</definedName>
    <definedName name="__________obl1831" localSheetId="31">#REF!</definedName>
    <definedName name="__________obl1831" localSheetId="32">#REF!</definedName>
    <definedName name="__________obl1831">#REF!</definedName>
    <definedName name="__________obl1832" localSheetId="11">#REF!</definedName>
    <definedName name="__________obl1832" localSheetId="24">#REF!</definedName>
    <definedName name="__________obl1832" localSheetId="25">#REF!</definedName>
    <definedName name="__________obl1832" localSheetId="12">#REF!</definedName>
    <definedName name="__________obl1832" localSheetId="14">#REF!</definedName>
    <definedName name="__________obl1832" localSheetId="19">#REF!</definedName>
    <definedName name="__________obl1832" localSheetId="30">#REF!</definedName>
    <definedName name="__________obl1832" localSheetId="31">#REF!</definedName>
    <definedName name="__________obl1832" localSheetId="32">#REF!</definedName>
    <definedName name="__________obl1832">#REF!</definedName>
    <definedName name="__________obl184" localSheetId="11">#REF!</definedName>
    <definedName name="__________obl184" localSheetId="24">#REF!</definedName>
    <definedName name="__________obl184" localSheetId="25">#REF!</definedName>
    <definedName name="__________obl184" localSheetId="12">#REF!</definedName>
    <definedName name="__________obl184" localSheetId="14">#REF!</definedName>
    <definedName name="__________obl184" localSheetId="19">#REF!</definedName>
    <definedName name="__________obl184" localSheetId="30">#REF!</definedName>
    <definedName name="__________obl184" localSheetId="31">#REF!</definedName>
    <definedName name="__________obl184" localSheetId="32">#REF!</definedName>
    <definedName name="__________obl184">#REF!</definedName>
    <definedName name="__________obl185" localSheetId="11">#REF!</definedName>
    <definedName name="__________obl185" localSheetId="24">#REF!</definedName>
    <definedName name="__________obl185" localSheetId="25">#REF!</definedName>
    <definedName name="__________obl185" localSheetId="12">#REF!</definedName>
    <definedName name="__________obl185" localSheetId="14">#REF!</definedName>
    <definedName name="__________obl185" localSheetId="19">#REF!</definedName>
    <definedName name="__________obl185" localSheetId="30">#REF!</definedName>
    <definedName name="__________obl185" localSheetId="31">#REF!</definedName>
    <definedName name="__________obl185" localSheetId="32">#REF!</definedName>
    <definedName name="__________obl185">#REF!</definedName>
    <definedName name="__________obl186" localSheetId="11">#REF!</definedName>
    <definedName name="__________obl186" localSheetId="24">#REF!</definedName>
    <definedName name="__________obl186" localSheetId="25">#REF!</definedName>
    <definedName name="__________obl186" localSheetId="12">#REF!</definedName>
    <definedName name="__________obl186" localSheetId="14">#REF!</definedName>
    <definedName name="__________obl186" localSheetId="19">#REF!</definedName>
    <definedName name="__________obl186" localSheetId="30">#REF!</definedName>
    <definedName name="__________obl186" localSheetId="31">#REF!</definedName>
    <definedName name="__________obl186" localSheetId="32">#REF!</definedName>
    <definedName name="__________obl186">#REF!</definedName>
    <definedName name="__________obl187" localSheetId="11">#REF!</definedName>
    <definedName name="__________obl187" localSheetId="24">#REF!</definedName>
    <definedName name="__________obl187" localSheetId="25">#REF!</definedName>
    <definedName name="__________obl187" localSheetId="12">#REF!</definedName>
    <definedName name="__________obl187" localSheetId="14">#REF!</definedName>
    <definedName name="__________obl187" localSheetId="19">#REF!</definedName>
    <definedName name="__________obl187" localSheetId="30">#REF!</definedName>
    <definedName name="__________obl187" localSheetId="31">#REF!</definedName>
    <definedName name="__________obl187" localSheetId="32">#REF!</definedName>
    <definedName name="__________obl187">#REF!</definedName>
    <definedName name="_________obl11" localSheetId="25">#REF!</definedName>
    <definedName name="_________obl11" localSheetId="12">#REF!</definedName>
    <definedName name="_________obl11" localSheetId="19">#REF!</definedName>
    <definedName name="_________obl11" localSheetId="30">#REF!</definedName>
    <definedName name="_________obl11">#REF!</definedName>
    <definedName name="_________obl12" localSheetId="25">#REF!</definedName>
    <definedName name="_________obl12" localSheetId="12">#REF!</definedName>
    <definedName name="_________obl12" localSheetId="19">#REF!</definedName>
    <definedName name="_________obl12" localSheetId="30">#REF!</definedName>
    <definedName name="_________obl12">#REF!</definedName>
    <definedName name="_________obl13" localSheetId="25">#REF!</definedName>
    <definedName name="_________obl13" localSheetId="12">#REF!</definedName>
    <definedName name="_________obl13" localSheetId="19">#REF!</definedName>
    <definedName name="_________obl13" localSheetId="30">#REF!</definedName>
    <definedName name="_________obl13">#REF!</definedName>
    <definedName name="_________obl14" localSheetId="25">#REF!</definedName>
    <definedName name="_________obl14" localSheetId="12">#REF!</definedName>
    <definedName name="_________obl14" localSheetId="19">#REF!</definedName>
    <definedName name="_________obl14" localSheetId="30">#REF!</definedName>
    <definedName name="_________obl14">#REF!</definedName>
    <definedName name="_________obl15" localSheetId="25">#REF!</definedName>
    <definedName name="_________obl15" localSheetId="12">#REF!</definedName>
    <definedName name="_________obl15" localSheetId="19">#REF!</definedName>
    <definedName name="_________obl15" localSheetId="30">#REF!</definedName>
    <definedName name="_________obl15">#REF!</definedName>
    <definedName name="_________obl16" localSheetId="25">#REF!</definedName>
    <definedName name="_________obl16" localSheetId="12">#REF!</definedName>
    <definedName name="_________obl16" localSheetId="19">#REF!</definedName>
    <definedName name="_________obl16" localSheetId="30">#REF!</definedName>
    <definedName name="_________obl16">#REF!</definedName>
    <definedName name="_________obl17" localSheetId="25">#REF!</definedName>
    <definedName name="_________obl17" localSheetId="12">#REF!</definedName>
    <definedName name="_________obl17" localSheetId="19">#REF!</definedName>
    <definedName name="_________obl17" localSheetId="30">#REF!</definedName>
    <definedName name="_________obl17">#REF!</definedName>
    <definedName name="_________obl1710" localSheetId="25">#REF!</definedName>
    <definedName name="_________obl1710" localSheetId="12">#REF!</definedName>
    <definedName name="_________obl1710" localSheetId="19">#REF!</definedName>
    <definedName name="_________obl1710" localSheetId="30">#REF!</definedName>
    <definedName name="_________obl1710">#REF!</definedName>
    <definedName name="_________obl1711" localSheetId="25">#REF!</definedName>
    <definedName name="_________obl1711" localSheetId="12">#REF!</definedName>
    <definedName name="_________obl1711" localSheetId="19">#REF!</definedName>
    <definedName name="_________obl1711" localSheetId="30">#REF!</definedName>
    <definedName name="_________obl1711">#REF!</definedName>
    <definedName name="_________obl1712" localSheetId="25">#REF!</definedName>
    <definedName name="_________obl1712" localSheetId="12">#REF!</definedName>
    <definedName name="_________obl1712" localSheetId="19">#REF!</definedName>
    <definedName name="_________obl1712" localSheetId="30">#REF!</definedName>
    <definedName name="_________obl1712">#REF!</definedName>
    <definedName name="_________obl1713" localSheetId="25">#REF!</definedName>
    <definedName name="_________obl1713" localSheetId="12">#REF!</definedName>
    <definedName name="_________obl1713" localSheetId="19">#REF!</definedName>
    <definedName name="_________obl1713" localSheetId="30">#REF!</definedName>
    <definedName name="_________obl1713">#REF!</definedName>
    <definedName name="_________obl1714" localSheetId="25">#REF!</definedName>
    <definedName name="_________obl1714" localSheetId="12">#REF!</definedName>
    <definedName name="_________obl1714" localSheetId="19">#REF!</definedName>
    <definedName name="_________obl1714" localSheetId="30">#REF!</definedName>
    <definedName name="_________obl1714">#REF!</definedName>
    <definedName name="_________obl1715" localSheetId="25">#REF!</definedName>
    <definedName name="_________obl1715" localSheetId="12">#REF!</definedName>
    <definedName name="_________obl1715" localSheetId="19">#REF!</definedName>
    <definedName name="_________obl1715" localSheetId="30">#REF!</definedName>
    <definedName name="_________obl1715">#REF!</definedName>
    <definedName name="_________obl1716" localSheetId="25">#REF!</definedName>
    <definedName name="_________obl1716" localSheetId="12">#REF!</definedName>
    <definedName name="_________obl1716" localSheetId="19">#REF!</definedName>
    <definedName name="_________obl1716" localSheetId="30">#REF!</definedName>
    <definedName name="_________obl1716">#REF!</definedName>
    <definedName name="_________obl1717" localSheetId="25">#REF!</definedName>
    <definedName name="_________obl1717" localSheetId="12">#REF!</definedName>
    <definedName name="_________obl1717" localSheetId="19">#REF!</definedName>
    <definedName name="_________obl1717" localSheetId="30">#REF!</definedName>
    <definedName name="_________obl1717">#REF!</definedName>
    <definedName name="_________obl1718" localSheetId="25">#REF!</definedName>
    <definedName name="_________obl1718" localSheetId="12">#REF!</definedName>
    <definedName name="_________obl1718" localSheetId="19">#REF!</definedName>
    <definedName name="_________obl1718" localSheetId="30">#REF!</definedName>
    <definedName name="_________obl1718">#REF!</definedName>
    <definedName name="_________obl1719" localSheetId="25">#REF!</definedName>
    <definedName name="_________obl1719" localSheetId="12">#REF!</definedName>
    <definedName name="_________obl1719" localSheetId="19">#REF!</definedName>
    <definedName name="_________obl1719" localSheetId="30">#REF!</definedName>
    <definedName name="_________obl1719">#REF!</definedName>
    <definedName name="_________obl173" localSheetId="25">#REF!</definedName>
    <definedName name="_________obl173" localSheetId="12">#REF!</definedName>
    <definedName name="_________obl173" localSheetId="19">#REF!</definedName>
    <definedName name="_________obl173" localSheetId="30">#REF!</definedName>
    <definedName name="_________obl173">#REF!</definedName>
    <definedName name="_________obl174" localSheetId="25">#REF!</definedName>
    <definedName name="_________obl174" localSheetId="12">#REF!</definedName>
    <definedName name="_________obl174" localSheetId="19">#REF!</definedName>
    <definedName name="_________obl174" localSheetId="30">#REF!</definedName>
    <definedName name="_________obl174">#REF!</definedName>
    <definedName name="_________obl175" localSheetId="25">#REF!</definedName>
    <definedName name="_________obl175" localSheetId="12">#REF!</definedName>
    <definedName name="_________obl175" localSheetId="19">#REF!</definedName>
    <definedName name="_________obl175" localSheetId="30">#REF!</definedName>
    <definedName name="_________obl175">#REF!</definedName>
    <definedName name="_________obl176" localSheetId="25">#REF!</definedName>
    <definedName name="_________obl176" localSheetId="12">#REF!</definedName>
    <definedName name="_________obl176" localSheetId="19">#REF!</definedName>
    <definedName name="_________obl176" localSheetId="30">#REF!</definedName>
    <definedName name="_________obl176">#REF!</definedName>
    <definedName name="_________obl177" localSheetId="25">#REF!</definedName>
    <definedName name="_________obl177" localSheetId="12">#REF!</definedName>
    <definedName name="_________obl177" localSheetId="19">#REF!</definedName>
    <definedName name="_________obl177" localSheetId="30">#REF!</definedName>
    <definedName name="_________obl177">#REF!</definedName>
    <definedName name="_________obl178" localSheetId="25">#REF!</definedName>
    <definedName name="_________obl178" localSheetId="12">#REF!</definedName>
    <definedName name="_________obl178" localSheetId="19">#REF!</definedName>
    <definedName name="_________obl178" localSheetId="30">#REF!</definedName>
    <definedName name="_________obl178">#REF!</definedName>
    <definedName name="_________obl179" localSheetId="25">#REF!</definedName>
    <definedName name="_________obl179" localSheetId="12">#REF!</definedName>
    <definedName name="_________obl179" localSheetId="19">#REF!</definedName>
    <definedName name="_________obl179" localSheetId="30">#REF!</definedName>
    <definedName name="_________obl179">#REF!</definedName>
    <definedName name="_________obl18" localSheetId="25">#REF!</definedName>
    <definedName name="_________obl18" localSheetId="12">#REF!</definedName>
    <definedName name="_________obl18" localSheetId="19">#REF!</definedName>
    <definedName name="_________obl18" localSheetId="30">#REF!</definedName>
    <definedName name="_________obl18">#REF!</definedName>
    <definedName name="_________obl181" localSheetId="25">#REF!</definedName>
    <definedName name="_________obl181" localSheetId="12">#REF!</definedName>
    <definedName name="_________obl181" localSheetId="19">#REF!</definedName>
    <definedName name="_________obl181" localSheetId="30">#REF!</definedName>
    <definedName name="_________obl181">#REF!</definedName>
    <definedName name="_________obl1816" localSheetId="25">#REF!</definedName>
    <definedName name="_________obl1816" localSheetId="12">#REF!</definedName>
    <definedName name="_________obl1816" localSheetId="19">#REF!</definedName>
    <definedName name="_________obl1816" localSheetId="30">#REF!</definedName>
    <definedName name="_________obl1816">#REF!</definedName>
    <definedName name="_________obl1820" localSheetId="25">#REF!</definedName>
    <definedName name="_________obl1820" localSheetId="12">#REF!</definedName>
    <definedName name="_________obl1820" localSheetId="19">#REF!</definedName>
    <definedName name="_________obl1820" localSheetId="30">#REF!</definedName>
    <definedName name="_________obl1820">#REF!</definedName>
    <definedName name="_________obl1821" localSheetId="25">#REF!</definedName>
    <definedName name="_________obl1821" localSheetId="12">#REF!</definedName>
    <definedName name="_________obl1821" localSheetId="19">#REF!</definedName>
    <definedName name="_________obl1821" localSheetId="30">#REF!</definedName>
    <definedName name="_________obl1821">#REF!</definedName>
    <definedName name="_________obl1822" localSheetId="25">#REF!</definedName>
    <definedName name="_________obl1822" localSheetId="12">#REF!</definedName>
    <definedName name="_________obl1822" localSheetId="19">#REF!</definedName>
    <definedName name="_________obl1822" localSheetId="30">#REF!</definedName>
    <definedName name="_________obl1822">#REF!</definedName>
    <definedName name="_________obl1823" localSheetId="25">#REF!</definedName>
    <definedName name="_________obl1823" localSheetId="12">#REF!</definedName>
    <definedName name="_________obl1823" localSheetId="19">#REF!</definedName>
    <definedName name="_________obl1823" localSheetId="30">#REF!</definedName>
    <definedName name="_________obl1823">#REF!</definedName>
    <definedName name="_________obl1824" localSheetId="25">#REF!</definedName>
    <definedName name="_________obl1824" localSheetId="12">#REF!</definedName>
    <definedName name="_________obl1824" localSheetId="19">#REF!</definedName>
    <definedName name="_________obl1824" localSheetId="30">#REF!</definedName>
    <definedName name="_________obl1824">#REF!</definedName>
    <definedName name="_________obl1825" localSheetId="25">#REF!</definedName>
    <definedName name="_________obl1825" localSheetId="12">#REF!</definedName>
    <definedName name="_________obl1825" localSheetId="19">#REF!</definedName>
    <definedName name="_________obl1825" localSheetId="30">#REF!</definedName>
    <definedName name="_________obl1825">#REF!</definedName>
    <definedName name="_________obl1826" localSheetId="25">#REF!</definedName>
    <definedName name="_________obl1826" localSheetId="12">#REF!</definedName>
    <definedName name="_________obl1826" localSheetId="19">#REF!</definedName>
    <definedName name="_________obl1826" localSheetId="30">#REF!</definedName>
    <definedName name="_________obl1826">#REF!</definedName>
    <definedName name="_________obl1827" localSheetId="25">#REF!</definedName>
    <definedName name="_________obl1827" localSheetId="12">#REF!</definedName>
    <definedName name="_________obl1827" localSheetId="19">#REF!</definedName>
    <definedName name="_________obl1827" localSheetId="30">#REF!</definedName>
    <definedName name="_________obl1827">#REF!</definedName>
    <definedName name="_________obl1828" localSheetId="25">#REF!</definedName>
    <definedName name="_________obl1828" localSheetId="12">#REF!</definedName>
    <definedName name="_________obl1828" localSheetId="19">#REF!</definedName>
    <definedName name="_________obl1828" localSheetId="30">#REF!</definedName>
    <definedName name="_________obl1828">#REF!</definedName>
    <definedName name="_________obl1829" localSheetId="25">#REF!</definedName>
    <definedName name="_________obl1829" localSheetId="12">#REF!</definedName>
    <definedName name="_________obl1829" localSheetId="19">#REF!</definedName>
    <definedName name="_________obl1829" localSheetId="30">#REF!</definedName>
    <definedName name="_________obl1829">#REF!</definedName>
    <definedName name="_________obl183" localSheetId="25">#REF!</definedName>
    <definedName name="_________obl183" localSheetId="12">#REF!</definedName>
    <definedName name="_________obl183" localSheetId="19">#REF!</definedName>
    <definedName name="_________obl183" localSheetId="30">#REF!</definedName>
    <definedName name="_________obl183">#REF!</definedName>
    <definedName name="_________obl1831" localSheetId="25">#REF!</definedName>
    <definedName name="_________obl1831" localSheetId="12">#REF!</definedName>
    <definedName name="_________obl1831" localSheetId="19">#REF!</definedName>
    <definedName name="_________obl1831" localSheetId="30">#REF!</definedName>
    <definedName name="_________obl1831">#REF!</definedName>
    <definedName name="_________obl1832" localSheetId="25">#REF!</definedName>
    <definedName name="_________obl1832" localSheetId="12">#REF!</definedName>
    <definedName name="_________obl1832" localSheetId="19">#REF!</definedName>
    <definedName name="_________obl1832" localSheetId="30">#REF!</definedName>
    <definedName name="_________obl1832">#REF!</definedName>
    <definedName name="_________obl184" localSheetId="25">#REF!</definedName>
    <definedName name="_________obl184" localSheetId="12">#REF!</definedName>
    <definedName name="_________obl184" localSheetId="19">#REF!</definedName>
    <definedName name="_________obl184" localSheetId="30">#REF!</definedName>
    <definedName name="_________obl184">#REF!</definedName>
    <definedName name="_________obl185" localSheetId="25">#REF!</definedName>
    <definedName name="_________obl185" localSheetId="12">#REF!</definedName>
    <definedName name="_________obl185" localSheetId="19">#REF!</definedName>
    <definedName name="_________obl185" localSheetId="30">#REF!</definedName>
    <definedName name="_________obl185">#REF!</definedName>
    <definedName name="_________obl186" localSheetId="25">#REF!</definedName>
    <definedName name="_________obl186" localSheetId="12">#REF!</definedName>
    <definedName name="_________obl186" localSheetId="19">#REF!</definedName>
    <definedName name="_________obl186" localSheetId="30">#REF!</definedName>
    <definedName name="_________obl186">#REF!</definedName>
    <definedName name="_________obl187" localSheetId="25">#REF!</definedName>
    <definedName name="_________obl187" localSheetId="12">#REF!</definedName>
    <definedName name="_________obl187" localSheetId="19">#REF!</definedName>
    <definedName name="_________obl187" localSheetId="30">#REF!</definedName>
    <definedName name="_________obl187">#REF!</definedName>
    <definedName name="________obl11" localSheetId="11">#REF!</definedName>
    <definedName name="________obl11" localSheetId="24">#REF!</definedName>
    <definedName name="________obl11" localSheetId="25">#REF!</definedName>
    <definedName name="________obl11" localSheetId="29">#REF!</definedName>
    <definedName name="________obl11" localSheetId="27">#REF!</definedName>
    <definedName name="________obl11" localSheetId="28">#REF!</definedName>
    <definedName name="________obl11" localSheetId="12">#REF!</definedName>
    <definedName name="________obl11" localSheetId="14">#REF!</definedName>
    <definedName name="________obl11" localSheetId="19">#REF!</definedName>
    <definedName name="________obl11" localSheetId="30">#REF!</definedName>
    <definedName name="________obl11" localSheetId="31">#REF!</definedName>
    <definedName name="________obl11" localSheetId="32">#REF!</definedName>
    <definedName name="________obl11">#REF!</definedName>
    <definedName name="________obl12" localSheetId="11">#REF!</definedName>
    <definedName name="________obl12" localSheetId="24">#REF!</definedName>
    <definedName name="________obl12" localSheetId="25">#REF!</definedName>
    <definedName name="________obl12" localSheetId="29">#REF!</definedName>
    <definedName name="________obl12" localSheetId="27">#REF!</definedName>
    <definedName name="________obl12" localSheetId="28">#REF!</definedName>
    <definedName name="________obl12" localSheetId="12">#REF!</definedName>
    <definedName name="________obl12" localSheetId="14">#REF!</definedName>
    <definedName name="________obl12" localSheetId="19">#REF!</definedName>
    <definedName name="________obl12" localSheetId="30">#REF!</definedName>
    <definedName name="________obl12" localSheetId="31">#REF!</definedName>
    <definedName name="________obl12" localSheetId="32">#REF!</definedName>
    <definedName name="________obl12">#REF!</definedName>
    <definedName name="________obl13" localSheetId="11">#REF!</definedName>
    <definedName name="________obl13" localSheetId="24">#REF!</definedName>
    <definedName name="________obl13" localSheetId="25">#REF!</definedName>
    <definedName name="________obl13" localSheetId="29">#REF!</definedName>
    <definedName name="________obl13" localSheetId="27">#REF!</definedName>
    <definedName name="________obl13" localSheetId="28">#REF!</definedName>
    <definedName name="________obl13" localSheetId="12">#REF!</definedName>
    <definedName name="________obl13" localSheetId="14">#REF!</definedName>
    <definedName name="________obl13" localSheetId="19">#REF!</definedName>
    <definedName name="________obl13" localSheetId="30">#REF!</definedName>
    <definedName name="________obl13" localSheetId="31">#REF!</definedName>
    <definedName name="________obl13" localSheetId="32">#REF!</definedName>
    <definedName name="________obl13">#REF!</definedName>
    <definedName name="________obl14" localSheetId="11">#REF!</definedName>
    <definedName name="________obl14" localSheetId="24">#REF!</definedName>
    <definedName name="________obl14" localSheetId="25">#REF!</definedName>
    <definedName name="________obl14" localSheetId="29">#REF!</definedName>
    <definedName name="________obl14" localSheetId="27">#REF!</definedName>
    <definedName name="________obl14" localSheetId="28">#REF!</definedName>
    <definedName name="________obl14" localSheetId="12">#REF!</definedName>
    <definedName name="________obl14" localSheetId="14">#REF!</definedName>
    <definedName name="________obl14" localSheetId="19">#REF!</definedName>
    <definedName name="________obl14" localSheetId="30">#REF!</definedName>
    <definedName name="________obl14" localSheetId="31">#REF!</definedName>
    <definedName name="________obl14" localSheetId="32">#REF!</definedName>
    <definedName name="________obl14">#REF!</definedName>
    <definedName name="________obl15" localSheetId="11">#REF!</definedName>
    <definedName name="________obl15" localSheetId="24">#REF!</definedName>
    <definedName name="________obl15" localSheetId="25">#REF!</definedName>
    <definedName name="________obl15" localSheetId="29">#REF!</definedName>
    <definedName name="________obl15" localSheetId="27">#REF!</definedName>
    <definedName name="________obl15" localSheetId="28">#REF!</definedName>
    <definedName name="________obl15" localSheetId="12">#REF!</definedName>
    <definedName name="________obl15" localSheetId="14">#REF!</definedName>
    <definedName name="________obl15" localSheetId="19">#REF!</definedName>
    <definedName name="________obl15" localSheetId="30">#REF!</definedName>
    <definedName name="________obl15" localSheetId="31">#REF!</definedName>
    <definedName name="________obl15" localSheetId="32">#REF!</definedName>
    <definedName name="________obl15">#REF!</definedName>
    <definedName name="________obl16" localSheetId="11">#REF!</definedName>
    <definedName name="________obl16" localSheetId="24">#REF!</definedName>
    <definedName name="________obl16" localSheetId="25">#REF!</definedName>
    <definedName name="________obl16" localSheetId="29">#REF!</definedName>
    <definedName name="________obl16" localSheetId="27">#REF!</definedName>
    <definedName name="________obl16" localSheetId="28">#REF!</definedName>
    <definedName name="________obl16" localSheetId="12">#REF!</definedName>
    <definedName name="________obl16" localSheetId="14">#REF!</definedName>
    <definedName name="________obl16" localSheetId="19">#REF!</definedName>
    <definedName name="________obl16" localSheetId="30">#REF!</definedName>
    <definedName name="________obl16" localSheetId="31">#REF!</definedName>
    <definedName name="________obl16" localSheetId="32">#REF!</definedName>
    <definedName name="________obl16">#REF!</definedName>
    <definedName name="________obl17" localSheetId="11">#REF!</definedName>
    <definedName name="________obl17" localSheetId="24">#REF!</definedName>
    <definedName name="________obl17" localSheetId="25">#REF!</definedName>
    <definedName name="________obl17" localSheetId="29">#REF!</definedName>
    <definedName name="________obl17" localSheetId="27">#REF!</definedName>
    <definedName name="________obl17" localSheetId="28">#REF!</definedName>
    <definedName name="________obl17" localSheetId="12">#REF!</definedName>
    <definedName name="________obl17" localSheetId="14">#REF!</definedName>
    <definedName name="________obl17" localSheetId="19">#REF!</definedName>
    <definedName name="________obl17" localSheetId="30">#REF!</definedName>
    <definedName name="________obl17" localSheetId="31">#REF!</definedName>
    <definedName name="________obl17" localSheetId="32">#REF!</definedName>
    <definedName name="________obl17">#REF!</definedName>
    <definedName name="________obl1710" localSheetId="11">#REF!</definedName>
    <definedName name="________obl1710" localSheetId="24">#REF!</definedName>
    <definedName name="________obl1710" localSheetId="25">#REF!</definedName>
    <definedName name="________obl1710" localSheetId="29">#REF!</definedName>
    <definedName name="________obl1710" localSheetId="27">#REF!</definedName>
    <definedName name="________obl1710" localSheetId="28">#REF!</definedName>
    <definedName name="________obl1710" localSheetId="12">#REF!</definedName>
    <definedName name="________obl1710" localSheetId="14">#REF!</definedName>
    <definedName name="________obl1710" localSheetId="19">#REF!</definedName>
    <definedName name="________obl1710" localSheetId="30">#REF!</definedName>
    <definedName name="________obl1710" localSheetId="31">#REF!</definedName>
    <definedName name="________obl1710" localSheetId="32">#REF!</definedName>
    <definedName name="________obl1710">#REF!</definedName>
    <definedName name="________obl1711" localSheetId="11">#REF!</definedName>
    <definedName name="________obl1711" localSheetId="24">#REF!</definedName>
    <definedName name="________obl1711" localSheetId="25">#REF!</definedName>
    <definedName name="________obl1711" localSheetId="29">#REF!</definedName>
    <definedName name="________obl1711" localSheetId="27">#REF!</definedName>
    <definedName name="________obl1711" localSheetId="28">#REF!</definedName>
    <definedName name="________obl1711" localSheetId="12">#REF!</definedName>
    <definedName name="________obl1711" localSheetId="14">#REF!</definedName>
    <definedName name="________obl1711" localSheetId="19">#REF!</definedName>
    <definedName name="________obl1711" localSheetId="30">#REF!</definedName>
    <definedName name="________obl1711" localSheetId="31">#REF!</definedName>
    <definedName name="________obl1711" localSheetId="32">#REF!</definedName>
    <definedName name="________obl1711">#REF!</definedName>
    <definedName name="________obl1712" localSheetId="11">#REF!</definedName>
    <definedName name="________obl1712" localSheetId="24">#REF!</definedName>
    <definedName name="________obl1712" localSheetId="25">#REF!</definedName>
    <definedName name="________obl1712" localSheetId="29">#REF!</definedName>
    <definedName name="________obl1712" localSheetId="27">#REF!</definedName>
    <definedName name="________obl1712" localSheetId="28">#REF!</definedName>
    <definedName name="________obl1712" localSheetId="12">#REF!</definedName>
    <definedName name="________obl1712" localSheetId="14">#REF!</definedName>
    <definedName name="________obl1712" localSheetId="19">#REF!</definedName>
    <definedName name="________obl1712" localSheetId="30">#REF!</definedName>
    <definedName name="________obl1712" localSheetId="31">#REF!</definedName>
    <definedName name="________obl1712" localSheetId="32">#REF!</definedName>
    <definedName name="________obl1712">#REF!</definedName>
    <definedName name="________obl1713" localSheetId="11">#REF!</definedName>
    <definedName name="________obl1713" localSheetId="24">#REF!</definedName>
    <definedName name="________obl1713" localSheetId="25">#REF!</definedName>
    <definedName name="________obl1713" localSheetId="29">#REF!</definedName>
    <definedName name="________obl1713" localSheetId="27">#REF!</definedName>
    <definedName name="________obl1713" localSheetId="28">#REF!</definedName>
    <definedName name="________obl1713" localSheetId="12">#REF!</definedName>
    <definedName name="________obl1713" localSheetId="14">#REF!</definedName>
    <definedName name="________obl1713" localSheetId="19">#REF!</definedName>
    <definedName name="________obl1713" localSheetId="30">#REF!</definedName>
    <definedName name="________obl1713" localSheetId="31">#REF!</definedName>
    <definedName name="________obl1713" localSheetId="32">#REF!</definedName>
    <definedName name="________obl1713">#REF!</definedName>
    <definedName name="________obl1714" localSheetId="11">#REF!</definedName>
    <definedName name="________obl1714" localSheetId="24">#REF!</definedName>
    <definedName name="________obl1714" localSheetId="25">#REF!</definedName>
    <definedName name="________obl1714" localSheetId="29">#REF!</definedName>
    <definedName name="________obl1714" localSheetId="27">#REF!</definedName>
    <definedName name="________obl1714" localSheetId="28">#REF!</definedName>
    <definedName name="________obl1714" localSheetId="12">#REF!</definedName>
    <definedName name="________obl1714" localSheetId="14">#REF!</definedName>
    <definedName name="________obl1714" localSheetId="19">#REF!</definedName>
    <definedName name="________obl1714" localSheetId="30">#REF!</definedName>
    <definedName name="________obl1714" localSheetId="31">#REF!</definedName>
    <definedName name="________obl1714" localSheetId="32">#REF!</definedName>
    <definedName name="________obl1714">#REF!</definedName>
    <definedName name="________obl1715" localSheetId="11">#REF!</definedName>
    <definedName name="________obl1715" localSheetId="24">#REF!</definedName>
    <definedName name="________obl1715" localSheetId="25">#REF!</definedName>
    <definedName name="________obl1715" localSheetId="29">#REF!</definedName>
    <definedName name="________obl1715" localSheetId="27">#REF!</definedName>
    <definedName name="________obl1715" localSheetId="28">#REF!</definedName>
    <definedName name="________obl1715" localSheetId="12">#REF!</definedName>
    <definedName name="________obl1715" localSheetId="14">#REF!</definedName>
    <definedName name="________obl1715" localSheetId="19">#REF!</definedName>
    <definedName name="________obl1715" localSheetId="30">#REF!</definedName>
    <definedName name="________obl1715" localSheetId="31">#REF!</definedName>
    <definedName name="________obl1715" localSheetId="32">#REF!</definedName>
    <definedName name="________obl1715">#REF!</definedName>
    <definedName name="________obl1716" localSheetId="11">#REF!</definedName>
    <definedName name="________obl1716" localSheetId="24">#REF!</definedName>
    <definedName name="________obl1716" localSheetId="25">#REF!</definedName>
    <definedName name="________obl1716" localSheetId="29">#REF!</definedName>
    <definedName name="________obl1716" localSheetId="27">#REF!</definedName>
    <definedName name="________obl1716" localSheetId="28">#REF!</definedName>
    <definedName name="________obl1716" localSheetId="12">#REF!</definedName>
    <definedName name="________obl1716" localSheetId="14">#REF!</definedName>
    <definedName name="________obl1716" localSheetId="19">#REF!</definedName>
    <definedName name="________obl1716" localSheetId="30">#REF!</definedName>
    <definedName name="________obl1716" localSheetId="31">#REF!</definedName>
    <definedName name="________obl1716" localSheetId="32">#REF!</definedName>
    <definedName name="________obl1716">#REF!</definedName>
    <definedName name="________obl1717" localSheetId="11">#REF!</definedName>
    <definedName name="________obl1717" localSheetId="24">#REF!</definedName>
    <definedName name="________obl1717" localSheetId="25">#REF!</definedName>
    <definedName name="________obl1717" localSheetId="29">#REF!</definedName>
    <definedName name="________obl1717" localSheetId="27">#REF!</definedName>
    <definedName name="________obl1717" localSheetId="28">#REF!</definedName>
    <definedName name="________obl1717" localSheetId="12">#REF!</definedName>
    <definedName name="________obl1717" localSheetId="14">#REF!</definedName>
    <definedName name="________obl1717" localSheetId="19">#REF!</definedName>
    <definedName name="________obl1717" localSheetId="30">#REF!</definedName>
    <definedName name="________obl1717" localSheetId="31">#REF!</definedName>
    <definedName name="________obl1717" localSheetId="32">#REF!</definedName>
    <definedName name="________obl1717">#REF!</definedName>
    <definedName name="________obl1718" localSheetId="11">#REF!</definedName>
    <definedName name="________obl1718" localSheetId="24">#REF!</definedName>
    <definedName name="________obl1718" localSheetId="25">#REF!</definedName>
    <definedName name="________obl1718" localSheetId="29">#REF!</definedName>
    <definedName name="________obl1718" localSheetId="27">#REF!</definedName>
    <definedName name="________obl1718" localSheetId="28">#REF!</definedName>
    <definedName name="________obl1718" localSheetId="12">#REF!</definedName>
    <definedName name="________obl1718" localSheetId="14">#REF!</definedName>
    <definedName name="________obl1718" localSheetId="19">#REF!</definedName>
    <definedName name="________obl1718" localSheetId="30">#REF!</definedName>
    <definedName name="________obl1718" localSheetId="31">#REF!</definedName>
    <definedName name="________obl1718" localSheetId="32">#REF!</definedName>
    <definedName name="________obl1718">#REF!</definedName>
    <definedName name="________obl1719" localSheetId="11">#REF!</definedName>
    <definedName name="________obl1719" localSheetId="24">#REF!</definedName>
    <definedName name="________obl1719" localSheetId="25">#REF!</definedName>
    <definedName name="________obl1719" localSheetId="29">#REF!</definedName>
    <definedName name="________obl1719" localSheetId="27">#REF!</definedName>
    <definedName name="________obl1719" localSheetId="28">#REF!</definedName>
    <definedName name="________obl1719" localSheetId="12">#REF!</definedName>
    <definedName name="________obl1719" localSheetId="14">#REF!</definedName>
    <definedName name="________obl1719" localSheetId="19">#REF!</definedName>
    <definedName name="________obl1719" localSheetId="30">#REF!</definedName>
    <definedName name="________obl1719" localSheetId="31">#REF!</definedName>
    <definedName name="________obl1719" localSheetId="32">#REF!</definedName>
    <definedName name="________obl1719">#REF!</definedName>
    <definedName name="________obl173" localSheetId="11">#REF!</definedName>
    <definedName name="________obl173" localSheetId="24">#REF!</definedName>
    <definedName name="________obl173" localSheetId="25">#REF!</definedName>
    <definedName name="________obl173" localSheetId="29">#REF!</definedName>
    <definedName name="________obl173" localSheetId="27">#REF!</definedName>
    <definedName name="________obl173" localSheetId="28">#REF!</definedName>
    <definedName name="________obl173" localSheetId="12">#REF!</definedName>
    <definedName name="________obl173" localSheetId="14">#REF!</definedName>
    <definedName name="________obl173" localSheetId="19">#REF!</definedName>
    <definedName name="________obl173" localSheetId="30">#REF!</definedName>
    <definedName name="________obl173" localSheetId="31">#REF!</definedName>
    <definedName name="________obl173" localSheetId="32">#REF!</definedName>
    <definedName name="________obl173">#REF!</definedName>
    <definedName name="________obl174" localSheetId="11">#REF!</definedName>
    <definedName name="________obl174" localSheetId="24">#REF!</definedName>
    <definedName name="________obl174" localSheetId="25">#REF!</definedName>
    <definedName name="________obl174" localSheetId="29">#REF!</definedName>
    <definedName name="________obl174" localSheetId="27">#REF!</definedName>
    <definedName name="________obl174" localSheetId="28">#REF!</definedName>
    <definedName name="________obl174" localSheetId="12">#REF!</definedName>
    <definedName name="________obl174" localSheetId="14">#REF!</definedName>
    <definedName name="________obl174" localSheetId="19">#REF!</definedName>
    <definedName name="________obl174" localSheetId="30">#REF!</definedName>
    <definedName name="________obl174" localSheetId="31">#REF!</definedName>
    <definedName name="________obl174" localSheetId="32">#REF!</definedName>
    <definedName name="________obl174">#REF!</definedName>
    <definedName name="________obl175" localSheetId="11">#REF!</definedName>
    <definedName name="________obl175" localSheetId="24">#REF!</definedName>
    <definedName name="________obl175" localSheetId="25">#REF!</definedName>
    <definedName name="________obl175" localSheetId="29">#REF!</definedName>
    <definedName name="________obl175" localSheetId="27">#REF!</definedName>
    <definedName name="________obl175" localSheetId="28">#REF!</definedName>
    <definedName name="________obl175" localSheetId="12">#REF!</definedName>
    <definedName name="________obl175" localSheetId="14">#REF!</definedName>
    <definedName name="________obl175" localSheetId="19">#REF!</definedName>
    <definedName name="________obl175" localSheetId="30">#REF!</definedName>
    <definedName name="________obl175" localSheetId="31">#REF!</definedName>
    <definedName name="________obl175" localSheetId="32">#REF!</definedName>
    <definedName name="________obl175">#REF!</definedName>
    <definedName name="________obl176" localSheetId="11">#REF!</definedName>
    <definedName name="________obl176" localSheetId="24">#REF!</definedName>
    <definedName name="________obl176" localSheetId="25">#REF!</definedName>
    <definedName name="________obl176" localSheetId="29">#REF!</definedName>
    <definedName name="________obl176" localSheetId="27">#REF!</definedName>
    <definedName name="________obl176" localSheetId="28">#REF!</definedName>
    <definedName name="________obl176" localSheetId="12">#REF!</definedName>
    <definedName name="________obl176" localSheetId="14">#REF!</definedName>
    <definedName name="________obl176" localSheetId="19">#REF!</definedName>
    <definedName name="________obl176" localSheetId="30">#REF!</definedName>
    <definedName name="________obl176" localSheetId="31">#REF!</definedName>
    <definedName name="________obl176" localSheetId="32">#REF!</definedName>
    <definedName name="________obl176">#REF!</definedName>
    <definedName name="________obl177" localSheetId="11">#REF!</definedName>
    <definedName name="________obl177" localSheetId="24">#REF!</definedName>
    <definedName name="________obl177" localSheetId="25">#REF!</definedName>
    <definedName name="________obl177" localSheetId="29">#REF!</definedName>
    <definedName name="________obl177" localSheetId="27">#REF!</definedName>
    <definedName name="________obl177" localSheetId="28">#REF!</definedName>
    <definedName name="________obl177" localSheetId="12">#REF!</definedName>
    <definedName name="________obl177" localSheetId="14">#REF!</definedName>
    <definedName name="________obl177" localSheetId="19">#REF!</definedName>
    <definedName name="________obl177" localSheetId="30">#REF!</definedName>
    <definedName name="________obl177" localSheetId="31">#REF!</definedName>
    <definedName name="________obl177" localSheetId="32">#REF!</definedName>
    <definedName name="________obl177">#REF!</definedName>
    <definedName name="________obl178" localSheetId="11">#REF!</definedName>
    <definedName name="________obl178" localSheetId="24">#REF!</definedName>
    <definedName name="________obl178" localSheetId="25">#REF!</definedName>
    <definedName name="________obl178" localSheetId="29">#REF!</definedName>
    <definedName name="________obl178" localSheetId="27">#REF!</definedName>
    <definedName name="________obl178" localSheetId="28">#REF!</definedName>
    <definedName name="________obl178" localSheetId="12">#REF!</definedName>
    <definedName name="________obl178" localSheetId="14">#REF!</definedName>
    <definedName name="________obl178" localSheetId="19">#REF!</definedName>
    <definedName name="________obl178" localSheetId="30">#REF!</definedName>
    <definedName name="________obl178" localSheetId="31">#REF!</definedName>
    <definedName name="________obl178" localSheetId="32">#REF!</definedName>
    <definedName name="________obl178">#REF!</definedName>
    <definedName name="________obl179" localSheetId="11">#REF!</definedName>
    <definedName name="________obl179" localSheetId="24">#REF!</definedName>
    <definedName name="________obl179" localSheetId="25">#REF!</definedName>
    <definedName name="________obl179" localSheetId="29">#REF!</definedName>
    <definedName name="________obl179" localSheetId="27">#REF!</definedName>
    <definedName name="________obl179" localSheetId="28">#REF!</definedName>
    <definedName name="________obl179" localSheetId="12">#REF!</definedName>
    <definedName name="________obl179" localSheetId="14">#REF!</definedName>
    <definedName name="________obl179" localSheetId="19">#REF!</definedName>
    <definedName name="________obl179" localSheetId="30">#REF!</definedName>
    <definedName name="________obl179" localSheetId="31">#REF!</definedName>
    <definedName name="________obl179" localSheetId="32">#REF!</definedName>
    <definedName name="________obl179">#REF!</definedName>
    <definedName name="________obl18" localSheetId="11">#REF!</definedName>
    <definedName name="________obl18" localSheetId="24">#REF!</definedName>
    <definedName name="________obl18" localSheetId="25">#REF!</definedName>
    <definedName name="________obl18" localSheetId="29">#REF!</definedName>
    <definedName name="________obl18" localSheetId="27">#REF!</definedName>
    <definedName name="________obl18" localSheetId="28">#REF!</definedName>
    <definedName name="________obl18" localSheetId="12">#REF!</definedName>
    <definedName name="________obl18" localSheetId="14">#REF!</definedName>
    <definedName name="________obl18" localSheetId="19">#REF!</definedName>
    <definedName name="________obl18" localSheetId="30">#REF!</definedName>
    <definedName name="________obl18" localSheetId="31">#REF!</definedName>
    <definedName name="________obl18" localSheetId="32">#REF!</definedName>
    <definedName name="________obl18">#REF!</definedName>
    <definedName name="________obl181" localSheetId="11">#REF!</definedName>
    <definedName name="________obl181" localSheetId="24">#REF!</definedName>
    <definedName name="________obl181" localSheetId="25">#REF!</definedName>
    <definedName name="________obl181" localSheetId="29">#REF!</definedName>
    <definedName name="________obl181" localSheetId="27">#REF!</definedName>
    <definedName name="________obl181" localSheetId="28">#REF!</definedName>
    <definedName name="________obl181" localSheetId="12">#REF!</definedName>
    <definedName name="________obl181" localSheetId="14">#REF!</definedName>
    <definedName name="________obl181" localSheetId="19">#REF!</definedName>
    <definedName name="________obl181" localSheetId="30">#REF!</definedName>
    <definedName name="________obl181" localSheetId="31">#REF!</definedName>
    <definedName name="________obl181" localSheetId="32">#REF!</definedName>
    <definedName name="________obl181">#REF!</definedName>
    <definedName name="________obl1816" localSheetId="11">#REF!</definedName>
    <definedName name="________obl1816" localSheetId="24">#REF!</definedName>
    <definedName name="________obl1816" localSheetId="25">#REF!</definedName>
    <definedName name="________obl1816" localSheetId="29">#REF!</definedName>
    <definedName name="________obl1816" localSheetId="27">#REF!</definedName>
    <definedName name="________obl1816" localSheetId="28">#REF!</definedName>
    <definedName name="________obl1816" localSheetId="12">#REF!</definedName>
    <definedName name="________obl1816" localSheetId="14">#REF!</definedName>
    <definedName name="________obl1816" localSheetId="19">#REF!</definedName>
    <definedName name="________obl1816" localSheetId="30">#REF!</definedName>
    <definedName name="________obl1816" localSheetId="31">#REF!</definedName>
    <definedName name="________obl1816" localSheetId="32">#REF!</definedName>
    <definedName name="________obl1816">#REF!</definedName>
    <definedName name="________obl1820" localSheetId="11">#REF!</definedName>
    <definedName name="________obl1820" localSheetId="24">#REF!</definedName>
    <definedName name="________obl1820" localSheetId="25">#REF!</definedName>
    <definedName name="________obl1820" localSheetId="29">#REF!</definedName>
    <definedName name="________obl1820" localSheetId="27">#REF!</definedName>
    <definedName name="________obl1820" localSheetId="28">#REF!</definedName>
    <definedName name="________obl1820" localSheetId="12">#REF!</definedName>
    <definedName name="________obl1820" localSheetId="14">#REF!</definedName>
    <definedName name="________obl1820" localSheetId="19">#REF!</definedName>
    <definedName name="________obl1820" localSheetId="30">#REF!</definedName>
    <definedName name="________obl1820" localSheetId="31">#REF!</definedName>
    <definedName name="________obl1820" localSheetId="32">#REF!</definedName>
    <definedName name="________obl1820">#REF!</definedName>
    <definedName name="________obl1821" localSheetId="11">#REF!</definedName>
    <definedName name="________obl1821" localSheetId="24">#REF!</definedName>
    <definedName name="________obl1821" localSheetId="25">#REF!</definedName>
    <definedName name="________obl1821" localSheetId="29">#REF!</definedName>
    <definedName name="________obl1821" localSheetId="27">#REF!</definedName>
    <definedName name="________obl1821" localSheetId="28">#REF!</definedName>
    <definedName name="________obl1821" localSheetId="12">#REF!</definedName>
    <definedName name="________obl1821" localSheetId="14">#REF!</definedName>
    <definedName name="________obl1821" localSheetId="19">#REF!</definedName>
    <definedName name="________obl1821" localSheetId="30">#REF!</definedName>
    <definedName name="________obl1821" localSheetId="31">#REF!</definedName>
    <definedName name="________obl1821" localSheetId="32">#REF!</definedName>
    <definedName name="________obl1821">#REF!</definedName>
    <definedName name="________obl1822" localSheetId="11">#REF!</definedName>
    <definedName name="________obl1822" localSheetId="24">#REF!</definedName>
    <definedName name="________obl1822" localSheetId="25">#REF!</definedName>
    <definedName name="________obl1822" localSheetId="29">#REF!</definedName>
    <definedName name="________obl1822" localSheetId="27">#REF!</definedName>
    <definedName name="________obl1822" localSheetId="28">#REF!</definedName>
    <definedName name="________obl1822" localSheetId="12">#REF!</definedName>
    <definedName name="________obl1822" localSheetId="14">#REF!</definedName>
    <definedName name="________obl1822" localSheetId="19">#REF!</definedName>
    <definedName name="________obl1822" localSheetId="30">#REF!</definedName>
    <definedName name="________obl1822" localSheetId="31">#REF!</definedName>
    <definedName name="________obl1822" localSheetId="32">#REF!</definedName>
    <definedName name="________obl1822">#REF!</definedName>
    <definedName name="________obl1823" localSheetId="11">#REF!</definedName>
    <definedName name="________obl1823" localSheetId="24">#REF!</definedName>
    <definedName name="________obl1823" localSheetId="25">#REF!</definedName>
    <definedName name="________obl1823" localSheetId="29">#REF!</definedName>
    <definedName name="________obl1823" localSheetId="27">#REF!</definedName>
    <definedName name="________obl1823" localSheetId="28">#REF!</definedName>
    <definedName name="________obl1823" localSheetId="12">#REF!</definedName>
    <definedName name="________obl1823" localSheetId="14">#REF!</definedName>
    <definedName name="________obl1823" localSheetId="19">#REF!</definedName>
    <definedName name="________obl1823" localSheetId="30">#REF!</definedName>
    <definedName name="________obl1823" localSheetId="31">#REF!</definedName>
    <definedName name="________obl1823" localSheetId="32">#REF!</definedName>
    <definedName name="________obl1823">#REF!</definedName>
    <definedName name="________obl1824" localSheetId="11">#REF!</definedName>
    <definedName name="________obl1824" localSheetId="24">#REF!</definedName>
    <definedName name="________obl1824" localSheetId="25">#REF!</definedName>
    <definedName name="________obl1824" localSheetId="29">#REF!</definedName>
    <definedName name="________obl1824" localSheetId="27">#REF!</definedName>
    <definedName name="________obl1824" localSheetId="28">#REF!</definedName>
    <definedName name="________obl1824" localSheetId="12">#REF!</definedName>
    <definedName name="________obl1824" localSheetId="14">#REF!</definedName>
    <definedName name="________obl1824" localSheetId="19">#REF!</definedName>
    <definedName name="________obl1824" localSheetId="30">#REF!</definedName>
    <definedName name="________obl1824" localSheetId="31">#REF!</definedName>
    <definedName name="________obl1824" localSheetId="32">#REF!</definedName>
    <definedName name="________obl1824">#REF!</definedName>
    <definedName name="________obl1825" localSheetId="11">#REF!</definedName>
    <definedName name="________obl1825" localSheetId="24">#REF!</definedName>
    <definedName name="________obl1825" localSheetId="25">#REF!</definedName>
    <definedName name="________obl1825" localSheetId="29">#REF!</definedName>
    <definedName name="________obl1825" localSheetId="27">#REF!</definedName>
    <definedName name="________obl1825" localSheetId="28">#REF!</definedName>
    <definedName name="________obl1825" localSheetId="12">#REF!</definedName>
    <definedName name="________obl1825" localSheetId="14">#REF!</definedName>
    <definedName name="________obl1825" localSheetId="19">#REF!</definedName>
    <definedName name="________obl1825" localSheetId="30">#REF!</definedName>
    <definedName name="________obl1825" localSheetId="31">#REF!</definedName>
    <definedName name="________obl1825" localSheetId="32">#REF!</definedName>
    <definedName name="________obl1825">#REF!</definedName>
    <definedName name="________obl1826" localSheetId="11">#REF!</definedName>
    <definedName name="________obl1826" localSheetId="24">#REF!</definedName>
    <definedName name="________obl1826" localSheetId="25">#REF!</definedName>
    <definedName name="________obl1826" localSheetId="29">#REF!</definedName>
    <definedName name="________obl1826" localSheetId="27">#REF!</definedName>
    <definedName name="________obl1826" localSheetId="28">#REF!</definedName>
    <definedName name="________obl1826" localSheetId="12">#REF!</definedName>
    <definedName name="________obl1826" localSheetId="14">#REF!</definedName>
    <definedName name="________obl1826" localSheetId="19">#REF!</definedName>
    <definedName name="________obl1826" localSheetId="30">#REF!</definedName>
    <definedName name="________obl1826" localSheetId="31">#REF!</definedName>
    <definedName name="________obl1826" localSheetId="32">#REF!</definedName>
    <definedName name="________obl1826">#REF!</definedName>
    <definedName name="________obl1827" localSheetId="11">#REF!</definedName>
    <definedName name="________obl1827" localSheetId="24">#REF!</definedName>
    <definedName name="________obl1827" localSheetId="25">#REF!</definedName>
    <definedName name="________obl1827" localSheetId="29">#REF!</definedName>
    <definedName name="________obl1827" localSheetId="27">#REF!</definedName>
    <definedName name="________obl1827" localSheetId="28">#REF!</definedName>
    <definedName name="________obl1827" localSheetId="12">#REF!</definedName>
    <definedName name="________obl1827" localSheetId="14">#REF!</definedName>
    <definedName name="________obl1827" localSheetId="19">#REF!</definedName>
    <definedName name="________obl1827" localSheetId="30">#REF!</definedName>
    <definedName name="________obl1827" localSheetId="31">#REF!</definedName>
    <definedName name="________obl1827" localSheetId="32">#REF!</definedName>
    <definedName name="________obl1827">#REF!</definedName>
    <definedName name="________obl1828" localSheetId="11">#REF!</definedName>
    <definedName name="________obl1828" localSheetId="24">#REF!</definedName>
    <definedName name="________obl1828" localSheetId="25">#REF!</definedName>
    <definedName name="________obl1828" localSheetId="29">#REF!</definedName>
    <definedName name="________obl1828" localSheetId="27">#REF!</definedName>
    <definedName name="________obl1828" localSheetId="28">#REF!</definedName>
    <definedName name="________obl1828" localSheetId="12">#REF!</definedName>
    <definedName name="________obl1828" localSheetId="14">#REF!</definedName>
    <definedName name="________obl1828" localSheetId="19">#REF!</definedName>
    <definedName name="________obl1828" localSheetId="30">#REF!</definedName>
    <definedName name="________obl1828" localSheetId="31">#REF!</definedName>
    <definedName name="________obl1828" localSheetId="32">#REF!</definedName>
    <definedName name="________obl1828">#REF!</definedName>
    <definedName name="________obl1829" localSheetId="11">#REF!</definedName>
    <definedName name="________obl1829" localSheetId="24">#REF!</definedName>
    <definedName name="________obl1829" localSheetId="25">#REF!</definedName>
    <definedName name="________obl1829" localSheetId="29">#REF!</definedName>
    <definedName name="________obl1829" localSheetId="27">#REF!</definedName>
    <definedName name="________obl1829" localSheetId="28">#REF!</definedName>
    <definedName name="________obl1829" localSheetId="12">#REF!</definedName>
    <definedName name="________obl1829" localSheetId="14">#REF!</definedName>
    <definedName name="________obl1829" localSheetId="19">#REF!</definedName>
    <definedName name="________obl1829" localSheetId="30">#REF!</definedName>
    <definedName name="________obl1829" localSheetId="31">#REF!</definedName>
    <definedName name="________obl1829" localSheetId="32">#REF!</definedName>
    <definedName name="________obl1829">#REF!</definedName>
    <definedName name="________obl183" localSheetId="11">#REF!</definedName>
    <definedName name="________obl183" localSheetId="24">#REF!</definedName>
    <definedName name="________obl183" localSheetId="25">#REF!</definedName>
    <definedName name="________obl183" localSheetId="29">#REF!</definedName>
    <definedName name="________obl183" localSheetId="27">#REF!</definedName>
    <definedName name="________obl183" localSheetId="28">#REF!</definedName>
    <definedName name="________obl183" localSheetId="12">#REF!</definedName>
    <definedName name="________obl183" localSheetId="14">#REF!</definedName>
    <definedName name="________obl183" localSheetId="19">#REF!</definedName>
    <definedName name="________obl183" localSheetId="30">#REF!</definedName>
    <definedName name="________obl183" localSheetId="31">#REF!</definedName>
    <definedName name="________obl183" localSheetId="32">#REF!</definedName>
    <definedName name="________obl183">#REF!</definedName>
    <definedName name="________obl1831" localSheetId="11">#REF!</definedName>
    <definedName name="________obl1831" localSheetId="24">#REF!</definedName>
    <definedName name="________obl1831" localSheetId="25">#REF!</definedName>
    <definedName name="________obl1831" localSheetId="29">#REF!</definedName>
    <definedName name="________obl1831" localSheetId="27">#REF!</definedName>
    <definedName name="________obl1831" localSheetId="28">#REF!</definedName>
    <definedName name="________obl1831" localSheetId="12">#REF!</definedName>
    <definedName name="________obl1831" localSheetId="14">#REF!</definedName>
    <definedName name="________obl1831" localSheetId="19">#REF!</definedName>
    <definedName name="________obl1831" localSheetId="30">#REF!</definedName>
    <definedName name="________obl1831" localSheetId="31">#REF!</definedName>
    <definedName name="________obl1831" localSheetId="32">#REF!</definedName>
    <definedName name="________obl1831">#REF!</definedName>
    <definedName name="________obl1832" localSheetId="11">#REF!</definedName>
    <definedName name="________obl1832" localSheetId="24">#REF!</definedName>
    <definedName name="________obl1832" localSheetId="25">#REF!</definedName>
    <definedName name="________obl1832" localSheetId="29">#REF!</definedName>
    <definedName name="________obl1832" localSheetId="27">#REF!</definedName>
    <definedName name="________obl1832" localSheetId="28">#REF!</definedName>
    <definedName name="________obl1832" localSheetId="12">#REF!</definedName>
    <definedName name="________obl1832" localSheetId="14">#REF!</definedName>
    <definedName name="________obl1832" localSheetId="19">#REF!</definedName>
    <definedName name="________obl1832" localSheetId="30">#REF!</definedName>
    <definedName name="________obl1832" localSheetId="31">#REF!</definedName>
    <definedName name="________obl1832" localSheetId="32">#REF!</definedName>
    <definedName name="________obl1832">#REF!</definedName>
    <definedName name="________obl184" localSheetId="11">#REF!</definedName>
    <definedName name="________obl184" localSheetId="24">#REF!</definedName>
    <definedName name="________obl184" localSheetId="25">#REF!</definedName>
    <definedName name="________obl184" localSheetId="29">#REF!</definedName>
    <definedName name="________obl184" localSheetId="27">#REF!</definedName>
    <definedName name="________obl184" localSheetId="28">#REF!</definedName>
    <definedName name="________obl184" localSheetId="12">#REF!</definedName>
    <definedName name="________obl184" localSheetId="14">#REF!</definedName>
    <definedName name="________obl184" localSheetId="19">#REF!</definedName>
    <definedName name="________obl184" localSheetId="30">#REF!</definedName>
    <definedName name="________obl184" localSheetId="31">#REF!</definedName>
    <definedName name="________obl184" localSheetId="32">#REF!</definedName>
    <definedName name="________obl184">#REF!</definedName>
    <definedName name="________obl185" localSheetId="11">#REF!</definedName>
    <definedName name="________obl185" localSheetId="24">#REF!</definedName>
    <definedName name="________obl185" localSheetId="25">#REF!</definedName>
    <definedName name="________obl185" localSheetId="29">#REF!</definedName>
    <definedName name="________obl185" localSheetId="27">#REF!</definedName>
    <definedName name="________obl185" localSheetId="28">#REF!</definedName>
    <definedName name="________obl185" localSheetId="12">#REF!</definedName>
    <definedName name="________obl185" localSheetId="14">#REF!</definedName>
    <definedName name="________obl185" localSheetId="19">#REF!</definedName>
    <definedName name="________obl185" localSheetId="30">#REF!</definedName>
    <definedName name="________obl185" localSheetId="31">#REF!</definedName>
    <definedName name="________obl185" localSheetId="32">#REF!</definedName>
    <definedName name="________obl185">#REF!</definedName>
    <definedName name="________obl186" localSheetId="11">#REF!</definedName>
    <definedName name="________obl186" localSheetId="24">#REF!</definedName>
    <definedName name="________obl186" localSheetId="25">#REF!</definedName>
    <definedName name="________obl186" localSheetId="29">#REF!</definedName>
    <definedName name="________obl186" localSheetId="27">#REF!</definedName>
    <definedName name="________obl186" localSheetId="28">#REF!</definedName>
    <definedName name="________obl186" localSheetId="12">#REF!</definedName>
    <definedName name="________obl186" localSheetId="14">#REF!</definedName>
    <definedName name="________obl186" localSheetId="19">#REF!</definedName>
    <definedName name="________obl186" localSheetId="30">#REF!</definedName>
    <definedName name="________obl186" localSheetId="31">#REF!</definedName>
    <definedName name="________obl186" localSheetId="32">#REF!</definedName>
    <definedName name="________obl186">#REF!</definedName>
    <definedName name="________obl187" localSheetId="11">#REF!</definedName>
    <definedName name="________obl187" localSheetId="24">#REF!</definedName>
    <definedName name="________obl187" localSheetId="25">#REF!</definedName>
    <definedName name="________obl187" localSheetId="29">#REF!</definedName>
    <definedName name="________obl187" localSheetId="27">#REF!</definedName>
    <definedName name="________obl187" localSheetId="28">#REF!</definedName>
    <definedName name="________obl187" localSheetId="12">#REF!</definedName>
    <definedName name="________obl187" localSheetId="14">#REF!</definedName>
    <definedName name="________obl187" localSheetId="19">#REF!</definedName>
    <definedName name="________obl187" localSheetId="30">#REF!</definedName>
    <definedName name="________obl187" localSheetId="31">#REF!</definedName>
    <definedName name="________obl187" localSheetId="32">#REF!</definedName>
    <definedName name="________obl187">#REF!</definedName>
    <definedName name="_______obl11" localSheetId="25">#REF!</definedName>
    <definedName name="_______obl11" localSheetId="29">#REF!</definedName>
    <definedName name="_______obl11" localSheetId="27">#REF!</definedName>
    <definedName name="_______obl11" localSheetId="28">#REF!</definedName>
    <definedName name="_______obl11" localSheetId="19">#REF!</definedName>
    <definedName name="_______obl11" localSheetId="30">#REF!</definedName>
    <definedName name="_______obl11" localSheetId="32">#REF!</definedName>
    <definedName name="_______obl11" localSheetId="36">#REF!</definedName>
    <definedName name="_______obl11" localSheetId="37">#REF!</definedName>
    <definedName name="_______obl11" localSheetId="38">#REF!</definedName>
    <definedName name="_______obl11">#REF!</definedName>
    <definedName name="_______obl12" localSheetId="25">#REF!</definedName>
    <definedName name="_______obl12" localSheetId="29">#REF!</definedName>
    <definedName name="_______obl12" localSheetId="27">#REF!</definedName>
    <definedName name="_______obl12" localSheetId="28">#REF!</definedName>
    <definedName name="_______obl12" localSheetId="19">#REF!</definedName>
    <definedName name="_______obl12" localSheetId="30">#REF!</definedName>
    <definedName name="_______obl12" localSheetId="32">#REF!</definedName>
    <definedName name="_______obl12" localSheetId="36">#REF!</definedName>
    <definedName name="_______obl12" localSheetId="37">#REF!</definedName>
    <definedName name="_______obl12" localSheetId="38">#REF!</definedName>
    <definedName name="_______obl12">#REF!</definedName>
    <definedName name="_______obl13" localSheetId="25">#REF!</definedName>
    <definedName name="_______obl13" localSheetId="29">#REF!</definedName>
    <definedName name="_______obl13" localSheetId="27">#REF!</definedName>
    <definedName name="_______obl13" localSheetId="28">#REF!</definedName>
    <definedName name="_______obl13" localSheetId="19">#REF!</definedName>
    <definedName name="_______obl13" localSheetId="30">#REF!</definedName>
    <definedName name="_______obl13" localSheetId="32">#REF!</definedName>
    <definedName name="_______obl13" localSheetId="36">#REF!</definedName>
    <definedName name="_______obl13" localSheetId="37">#REF!</definedName>
    <definedName name="_______obl13" localSheetId="38">#REF!</definedName>
    <definedName name="_______obl13">#REF!</definedName>
    <definedName name="_______obl14" localSheetId="25">#REF!</definedName>
    <definedName name="_______obl14" localSheetId="29">#REF!</definedName>
    <definedName name="_______obl14" localSheetId="27">#REF!</definedName>
    <definedName name="_______obl14" localSheetId="28">#REF!</definedName>
    <definedName name="_______obl14" localSheetId="19">#REF!</definedName>
    <definedName name="_______obl14" localSheetId="30">#REF!</definedName>
    <definedName name="_______obl14" localSheetId="32">#REF!</definedName>
    <definedName name="_______obl14" localSheetId="36">#REF!</definedName>
    <definedName name="_______obl14" localSheetId="37">#REF!</definedName>
    <definedName name="_______obl14" localSheetId="38">#REF!</definedName>
    <definedName name="_______obl14">#REF!</definedName>
    <definedName name="_______obl15" localSheetId="25">#REF!</definedName>
    <definedName name="_______obl15" localSheetId="29">#REF!</definedName>
    <definedName name="_______obl15" localSheetId="27">#REF!</definedName>
    <definedName name="_______obl15" localSheetId="28">#REF!</definedName>
    <definedName name="_______obl15" localSheetId="19">#REF!</definedName>
    <definedName name="_______obl15" localSheetId="30">#REF!</definedName>
    <definedName name="_______obl15" localSheetId="32">#REF!</definedName>
    <definedName name="_______obl15" localSheetId="36">#REF!</definedName>
    <definedName name="_______obl15" localSheetId="37">#REF!</definedName>
    <definedName name="_______obl15" localSheetId="38">#REF!</definedName>
    <definedName name="_______obl15">#REF!</definedName>
    <definedName name="_______obl16" localSheetId="25">#REF!</definedName>
    <definedName name="_______obl16" localSheetId="29">#REF!</definedName>
    <definedName name="_______obl16" localSheetId="27">#REF!</definedName>
    <definedName name="_______obl16" localSheetId="28">#REF!</definedName>
    <definedName name="_______obl16" localSheetId="19">#REF!</definedName>
    <definedName name="_______obl16" localSheetId="30">#REF!</definedName>
    <definedName name="_______obl16" localSheetId="32">#REF!</definedName>
    <definedName name="_______obl16" localSheetId="36">#REF!</definedName>
    <definedName name="_______obl16" localSheetId="37">#REF!</definedName>
    <definedName name="_______obl16" localSheetId="38">#REF!</definedName>
    <definedName name="_______obl16">#REF!</definedName>
    <definedName name="_______obl17" localSheetId="25">#REF!</definedName>
    <definedName name="_______obl17" localSheetId="29">#REF!</definedName>
    <definedName name="_______obl17" localSheetId="27">#REF!</definedName>
    <definedName name="_______obl17" localSheetId="28">#REF!</definedName>
    <definedName name="_______obl17" localSheetId="19">#REF!</definedName>
    <definedName name="_______obl17" localSheetId="30">#REF!</definedName>
    <definedName name="_______obl17" localSheetId="32">#REF!</definedName>
    <definedName name="_______obl17" localSheetId="36">#REF!</definedName>
    <definedName name="_______obl17" localSheetId="37">#REF!</definedName>
    <definedName name="_______obl17" localSheetId="38">#REF!</definedName>
    <definedName name="_______obl17">#REF!</definedName>
    <definedName name="_______obl1710" localSheetId="25">#REF!</definedName>
    <definedName name="_______obl1710" localSheetId="29">#REF!</definedName>
    <definedName name="_______obl1710" localSheetId="27">#REF!</definedName>
    <definedName name="_______obl1710" localSheetId="28">#REF!</definedName>
    <definedName name="_______obl1710" localSheetId="19">#REF!</definedName>
    <definedName name="_______obl1710" localSheetId="30">#REF!</definedName>
    <definedName name="_______obl1710" localSheetId="32">#REF!</definedName>
    <definedName name="_______obl1710" localSheetId="36">#REF!</definedName>
    <definedName name="_______obl1710" localSheetId="37">#REF!</definedName>
    <definedName name="_______obl1710" localSheetId="38">#REF!</definedName>
    <definedName name="_______obl1710">#REF!</definedName>
    <definedName name="_______obl1711" localSheetId="25">#REF!</definedName>
    <definedName name="_______obl1711" localSheetId="29">#REF!</definedName>
    <definedName name="_______obl1711" localSheetId="27">#REF!</definedName>
    <definedName name="_______obl1711" localSheetId="28">#REF!</definedName>
    <definedName name="_______obl1711" localSheetId="19">#REF!</definedName>
    <definedName name="_______obl1711" localSheetId="30">#REF!</definedName>
    <definedName name="_______obl1711" localSheetId="32">#REF!</definedName>
    <definedName name="_______obl1711" localSheetId="36">#REF!</definedName>
    <definedName name="_______obl1711" localSheetId="37">#REF!</definedName>
    <definedName name="_______obl1711" localSheetId="38">#REF!</definedName>
    <definedName name="_______obl1711">#REF!</definedName>
    <definedName name="_______obl1712" localSheetId="25">#REF!</definedName>
    <definedName name="_______obl1712" localSheetId="29">#REF!</definedName>
    <definedName name="_______obl1712" localSheetId="27">#REF!</definedName>
    <definedName name="_______obl1712" localSheetId="28">#REF!</definedName>
    <definedName name="_______obl1712" localSheetId="19">#REF!</definedName>
    <definedName name="_______obl1712" localSheetId="30">#REF!</definedName>
    <definedName name="_______obl1712" localSheetId="32">#REF!</definedName>
    <definedName name="_______obl1712" localSheetId="36">#REF!</definedName>
    <definedName name="_______obl1712" localSheetId="37">#REF!</definedName>
    <definedName name="_______obl1712" localSheetId="38">#REF!</definedName>
    <definedName name="_______obl1712">#REF!</definedName>
    <definedName name="_______obl1713" localSheetId="25">#REF!</definedName>
    <definedName name="_______obl1713" localSheetId="29">#REF!</definedName>
    <definedName name="_______obl1713" localSheetId="27">#REF!</definedName>
    <definedName name="_______obl1713" localSheetId="28">#REF!</definedName>
    <definedName name="_______obl1713" localSheetId="19">#REF!</definedName>
    <definedName name="_______obl1713" localSheetId="30">#REF!</definedName>
    <definedName name="_______obl1713" localSheetId="32">#REF!</definedName>
    <definedName name="_______obl1713" localSheetId="36">#REF!</definedName>
    <definedName name="_______obl1713" localSheetId="37">#REF!</definedName>
    <definedName name="_______obl1713" localSheetId="38">#REF!</definedName>
    <definedName name="_______obl1713">#REF!</definedName>
    <definedName name="_______obl1714" localSheetId="25">#REF!</definedName>
    <definedName name="_______obl1714" localSheetId="29">#REF!</definedName>
    <definedName name="_______obl1714" localSheetId="27">#REF!</definedName>
    <definedName name="_______obl1714" localSheetId="28">#REF!</definedName>
    <definedName name="_______obl1714" localSheetId="19">#REF!</definedName>
    <definedName name="_______obl1714" localSheetId="30">#REF!</definedName>
    <definedName name="_______obl1714" localSheetId="32">#REF!</definedName>
    <definedName name="_______obl1714" localSheetId="36">#REF!</definedName>
    <definedName name="_______obl1714" localSheetId="37">#REF!</definedName>
    <definedName name="_______obl1714" localSheetId="38">#REF!</definedName>
    <definedName name="_______obl1714">#REF!</definedName>
    <definedName name="_______obl1715" localSheetId="25">#REF!</definedName>
    <definedName name="_______obl1715" localSheetId="29">#REF!</definedName>
    <definedName name="_______obl1715" localSheetId="27">#REF!</definedName>
    <definedName name="_______obl1715" localSheetId="28">#REF!</definedName>
    <definedName name="_______obl1715" localSheetId="19">#REF!</definedName>
    <definedName name="_______obl1715" localSheetId="30">#REF!</definedName>
    <definedName name="_______obl1715" localSheetId="32">#REF!</definedName>
    <definedName name="_______obl1715" localSheetId="36">#REF!</definedName>
    <definedName name="_______obl1715" localSheetId="37">#REF!</definedName>
    <definedName name="_______obl1715" localSheetId="38">#REF!</definedName>
    <definedName name="_______obl1715">#REF!</definedName>
    <definedName name="_______obl1716" localSheetId="25">#REF!</definedName>
    <definedName name="_______obl1716" localSheetId="29">#REF!</definedName>
    <definedName name="_______obl1716" localSheetId="27">#REF!</definedName>
    <definedName name="_______obl1716" localSheetId="28">#REF!</definedName>
    <definedName name="_______obl1716" localSheetId="19">#REF!</definedName>
    <definedName name="_______obl1716" localSheetId="30">#REF!</definedName>
    <definedName name="_______obl1716" localSheetId="32">#REF!</definedName>
    <definedName name="_______obl1716" localSheetId="36">#REF!</definedName>
    <definedName name="_______obl1716" localSheetId="37">#REF!</definedName>
    <definedName name="_______obl1716" localSheetId="38">#REF!</definedName>
    <definedName name="_______obl1716">#REF!</definedName>
    <definedName name="_______obl1717" localSheetId="25">#REF!</definedName>
    <definedName name="_______obl1717" localSheetId="29">#REF!</definedName>
    <definedName name="_______obl1717" localSheetId="27">#REF!</definedName>
    <definedName name="_______obl1717" localSheetId="28">#REF!</definedName>
    <definedName name="_______obl1717" localSheetId="19">#REF!</definedName>
    <definedName name="_______obl1717" localSheetId="30">#REF!</definedName>
    <definedName name="_______obl1717" localSheetId="32">#REF!</definedName>
    <definedName name="_______obl1717" localSheetId="36">#REF!</definedName>
    <definedName name="_______obl1717" localSheetId="37">#REF!</definedName>
    <definedName name="_______obl1717" localSheetId="38">#REF!</definedName>
    <definedName name="_______obl1717">#REF!</definedName>
    <definedName name="_______obl1718" localSheetId="25">#REF!</definedName>
    <definedName name="_______obl1718" localSheetId="29">#REF!</definedName>
    <definedName name="_______obl1718" localSheetId="27">#REF!</definedName>
    <definedName name="_______obl1718" localSheetId="28">#REF!</definedName>
    <definedName name="_______obl1718" localSheetId="19">#REF!</definedName>
    <definedName name="_______obl1718" localSheetId="30">#REF!</definedName>
    <definedName name="_______obl1718" localSheetId="32">#REF!</definedName>
    <definedName name="_______obl1718" localSheetId="36">#REF!</definedName>
    <definedName name="_______obl1718" localSheetId="37">#REF!</definedName>
    <definedName name="_______obl1718" localSheetId="38">#REF!</definedName>
    <definedName name="_______obl1718">#REF!</definedName>
    <definedName name="_______obl1719" localSheetId="25">#REF!</definedName>
    <definedName name="_______obl1719" localSheetId="29">#REF!</definedName>
    <definedName name="_______obl1719" localSheetId="27">#REF!</definedName>
    <definedName name="_______obl1719" localSheetId="28">#REF!</definedName>
    <definedName name="_______obl1719" localSheetId="19">#REF!</definedName>
    <definedName name="_______obl1719" localSheetId="30">#REF!</definedName>
    <definedName name="_______obl1719" localSheetId="32">#REF!</definedName>
    <definedName name="_______obl1719" localSheetId="36">#REF!</definedName>
    <definedName name="_______obl1719" localSheetId="37">#REF!</definedName>
    <definedName name="_______obl1719" localSheetId="38">#REF!</definedName>
    <definedName name="_______obl1719">#REF!</definedName>
    <definedName name="_______obl173" localSheetId="25">#REF!</definedName>
    <definedName name="_______obl173" localSheetId="29">#REF!</definedName>
    <definedName name="_______obl173" localSheetId="27">#REF!</definedName>
    <definedName name="_______obl173" localSheetId="28">#REF!</definedName>
    <definedName name="_______obl173" localSheetId="19">#REF!</definedName>
    <definedName name="_______obl173" localSheetId="30">#REF!</definedName>
    <definedName name="_______obl173" localSheetId="32">#REF!</definedName>
    <definedName name="_______obl173" localSheetId="36">#REF!</definedName>
    <definedName name="_______obl173" localSheetId="37">#REF!</definedName>
    <definedName name="_______obl173" localSheetId="38">#REF!</definedName>
    <definedName name="_______obl173">#REF!</definedName>
    <definedName name="_______obl174" localSheetId="25">#REF!</definedName>
    <definedName name="_______obl174" localSheetId="29">#REF!</definedName>
    <definedName name="_______obl174" localSheetId="27">#REF!</definedName>
    <definedName name="_______obl174" localSheetId="28">#REF!</definedName>
    <definedName name="_______obl174" localSheetId="19">#REF!</definedName>
    <definedName name="_______obl174" localSheetId="30">#REF!</definedName>
    <definedName name="_______obl174" localSheetId="32">#REF!</definedName>
    <definedName name="_______obl174" localSheetId="36">#REF!</definedName>
    <definedName name="_______obl174" localSheetId="37">#REF!</definedName>
    <definedName name="_______obl174" localSheetId="38">#REF!</definedName>
    <definedName name="_______obl174">#REF!</definedName>
    <definedName name="_______obl175" localSheetId="25">#REF!</definedName>
    <definedName name="_______obl175" localSheetId="29">#REF!</definedName>
    <definedName name="_______obl175" localSheetId="27">#REF!</definedName>
    <definedName name="_______obl175" localSheetId="28">#REF!</definedName>
    <definedName name="_______obl175" localSheetId="19">#REF!</definedName>
    <definedName name="_______obl175" localSheetId="30">#REF!</definedName>
    <definedName name="_______obl175" localSheetId="32">#REF!</definedName>
    <definedName name="_______obl175" localSheetId="36">#REF!</definedName>
    <definedName name="_______obl175" localSheetId="37">#REF!</definedName>
    <definedName name="_______obl175" localSheetId="38">#REF!</definedName>
    <definedName name="_______obl175">#REF!</definedName>
    <definedName name="_______obl176" localSheetId="25">#REF!</definedName>
    <definedName name="_______obl176" localSheetId="29">#REF!</definedName>
    <definedName name="_______obl176" localSheetId="27">#REF!</definedName>
    <definedName name="_______obl176" localSheetId="28">#REF!</definedName>
    <definedName name="_______obl176" localSheetId="19">#REF!</definedName>
    <definedName name="_______obl176" localSheetId="30">#REF!</definedName>
    <definedName name="_______obl176" localSheetId="32">#REF!</definedName>
    <definedName name="_______obl176" localSheetId="36">#REF!</definedName>
    <definedName name="_______obl176" localSheetId="37">#REF!</definedName>
    <definedName name="_______obl176" localSheetId="38">#REF!</definedName>
    <definedName name="_______obl176">#REF!</definedName>
    <definedName name="_______obl177" localSheetId="25">#REF!</definedName>
    <definedName name="_______obl177" localSheetId="29">#REF!</definedName>
    <definedName name="_______obl177" localSheetId="27">#REF!</definedName>
    <definedName name="_______obl177" localSheetId="28">#REF!</definedName>
    <definedName name="_______obl177" localSheetId="19">#REF!</definedName>
    <definedName name="_______obl177" localSheetId="30">#REF!</definedName>
    <definedName name="_______obl177" localSheetId="32">#REF!</definedName>
    <definedName name="_______obl177" localSheetId="36">#REF!</definedName>
    <definedName name="_______obl177" localSheetId="37">#REF!</definedName>
    <definedName name="_______obl177" localSheetId="38">#REF!</definedName>
    <definedName name="_______obl177">#REF!</definedName>
    <definedName name="_______obl178" localSheetId="25">#REF!</definedName>
    <definedName name="_______obl178" localSheetId="29">#REF!</definedName>
    <definedName name="_______obl178" localSheetId="27">#REF!</definedName>
    <definedName name="_______obl178" localSheetId="28">#REF!</definedName>
    <definedName name="_______obl178" localSheetId="19">#REF!</definedName>
    <definedName name="_______obl178" localSheetId="30">#REF!</definedName>
    <definedName name="_______obl178" localSheetId="32">#REF!</definedName>
    <definedName name="_______obl178" localSheetId="36">#REF!</definedName>
    <definedName name="_______obl178" localSheetId="37">#REF!</definedName>
    <definedName name="_______obl178" localSheetId="38">#REF!</definedName>
    <definedName name="_______obl178">#REF!</definedName>
    <definedName name="_______obl179" localSheetId="25">#REF!</definedName>
    <definedName name="_______obl179" localSheetId="29">#REF!</definedName>
    <definedName name="_______obl179" localSheetId="27">#REF!</definedName>
    <definedName name="_______obl179" localSheetId="28">#REF!</definedName>
    <definedName name="_______obl179" localSheetId="19">#REF!</definedName>
    <definedName name="_______obl179" localSheetId="30">#REF!</definedName>
    <definedName name="_______obl179" localSheetId="32">#REF!</definedName>
    <definedName name="_______obl179" localSheetId="36">#REF!</definedName>
    <definedName name="_______obl179" localSheetId="37">#REF!</definedName>
    <definedName name="_______obl179" localSheetId="38">#REF!</definedName>
    <definedName name="_______obl179">#REF!</definedName>
    <definedName name="_______obl18" localSheetId="25">#REF!</definedName>
    <definedName name="_______obl18" localSheetId="29">#REF!</definedName>
    <definedName name="_______obl18" localSheetId="27">#REF!</definedName>
    <definedName name="_______obl18" localSheetId="28">#REF!</definedName>
    <definedName name="_______obl18" localSheetId="19">#REF!</definedName>
    <definedName name="_______obl18" localSheetId="30">#REF!</definedName>
    <definedName name="_______obl18" localSheetId="32">#REF!</definedName>
    <definedName name="_______obl18" localSheetId="36">#REF!</definedName>
    <definedName name="_______obl18" localSheetId="37">#REF!</definedName>
    <definedName name="_______obl18" localSheetId="38">#REF!</definedName>
    <definedName name="_______obl18">#REF!</definedName>
    <definedName name="_______obl181" localSheetId="25">#REF!</definedName>
    <definedName name="_______obl181" localSheetId="29">#REF!</definedName>
    <definedName name="_______obl181" localSheetId="27">#REF!</definedName>
    <definedName name="_______obl181" localSheetId="28">#REF!</definedName>
    <definedName name="_______obl181" localSheetId="19">#REF!</definedName>
    <definedName name="_______obl181" localSheetId="30">#REF!</definedName>
    <definedName name="_______obl181" localSheetId="32">#REF!</definedName>
    <definedName name="_______obl181" localSheetId="36">#REF!</definedName>
    <definedName name="_______obl181" localSheetId="37">#REF!</definedName>
    <definedName name="_______obl181" localSheetId="38">#REF!</definedName>
    <definedName name="_______obl181">#REF!</definedName>
    <definedName name="_______obl1816" localSheetId="25">#REF!</definedName>
    <definedName name="_______obl1816" localSheetId="29">#REF!</definedName>
    <definedName name="_______obl1816" localSheetId="27">#REF!</definedName>
    <definedName name="_______obl1816" localSheetId="28">#REF!</definedName>
    <definedName name="_______obl1816" localSheetId="19">#REF!</definedName>
    <definedName name="_______obl1816" localSheetId="30">#REF!</definedName>
    <definedName name="_______obl1816" localSheetId="32">#REF!</definedName>
    <definedName name="_______obl1816" localSheetId="36">#REF!</definedName>
    <definedName name="_______obl1816" localSheetId="37">#REF!</definedName>
    <definedName name="_______obl1816" localSheetId="38">#REF!</definedName>
    <definedName name="_______obl1816">#REF!</definedName>
    <definedName name="_______obl1820" localSheetId="25">#REF!</definedName>
    <definedName name="_______obl1820" localSheetId="29">#REF!</definedName>
    <definedName name="_______obl1820" localSheetId="27">#REF!</definedName>
    <definedName name="_______obl1820" localSheetId="28">#REF!</definedName>
    <definedName name="_______obl1820" localSheetId="19">#REF!</definedName>
    <definedName name="_______obl1820" localSheetId="30">#REF!</definedName>
    <definedName name="_______obl1820" localSheetId="32">#REF!</definedName>
    <definedName name="_______obl1820" localSheetId="36">#REF!</definedName>
    <definedName name="_______obl1820" localSheetId="37">#REF!</definedName>
    <definedName name="_______obl1820" localSheetId="38">#REF!</definedName>
    <definedName name="_______obl1820">#REF!</definedName>
    <definedName name="_______obl1821" localSheetId="25">#REF!</definedName>
    <definedName name="_______obl1821" localSheetId="29">#REF!</definedName>
    <definedName name="_______obl1821" localSheetId="27">#REF!</definedName>
    <definedName name="_______obl1821" localSheetId="28">#REF!</definedName>
    <definedName name="_______obl1821" localSheetId="19">#REF!</definedName>
    <definedName name="_______obl1821" localSheetId="30">#REF!</definedName>
    <definedName name="_______obl1821" localSheetId="32">#REF!</definedName>
    <definedName name="_______obl1821" localSheetId="36">#REF!</definedName>
    <definedName name="_______obl1821" localSheetId="37">#REF!</definedName>
    <definedName name="_______obl1821" localSheetId="38">#REF!</definedName>
    <definedName name="_______obl1821">#REF!</definedName>
    <definedName name="_______obl1822" localSheetId="25">#REF!</definedName>
    <definedName name="_______obl1822" localSheetId="29">#REF!</definedName>
    <definedName name="_______obl1822" localSheetId="27">#REF!</definedName>
    <definedName name="_______obl1822" localSheetId="28">#REF!</definedName>
    <definedName name="_______obl1822" localSheetId="19">#REF!</definedName>
    <definedName name="_______obl1822" localSheetId="30">#REF!</definedName>
    <definedName name="_______obl1822" localSheetId="32">#REF!</definedName>
    <definedName name="_______obl1822" localSheetId="36">#REF!</definedName>
    <definedName name="_______obl1822" localSheetId="37">#REF!</definedName>
    <definedName name="_______obl1822" localSheetId="38">#REF!</definedName>
    <definedName name="_______obl1822">#REF!</definedName>
    <definedName name="_______obl1823" localSheetId="25">#REF!</definedName>
    <definedName name="_______obl1823" localSheetId="29">#REF!</definedName>
    <definedName name="_______obl1823" localSheetId="27">#REF!</definedName>
    <definedName name="_______obl1823" localSheetId="28">#REF!</definedName>
    <definedName name="_______obl1823" localSheetId="19">#REF!</definedName>
    <definedName name="_______obl1823" localSheetId="30">#REF!</definedName>
    <definedName name="_______obl1823" localSheetId="32">#REF!</definedName>
    <definedName name="_______obl1823" localSheetId="36">#REF!</definedName>
    <definedName name="_______obl1823" localSheetId="37">#REF!</definedName>
    <definedName name="_______obl1823" localSheetId="38">#REF!</definedName>
    <definedName name="_______obl1823">#REF!</definedName>
    <definedName name="_______obl1824" localSheetId="25">#REF!</definedName>
    <definedName name="_______obl1824" localSheetId="29">#REF!</definedName>
    <definedName name="_______obl1824" localSheetId="27">#REF!</definedName>
    <definedName name="_______obl1824" localSheetId="28">#REF!</definedName>
    <definedName name="_______obl1824" localSheetId="19">#REF!</definedName>
    <definedName name="_______obl1824" localSheetId="30">#REF!</definedName>
    <definedName name="_______obl1824" localSheetId="32">#REF!</definedName>
    <definedName name="_______obl1824" localSheetId="36">#REF!</definedName>
    <definedName name="_______obl1824" localSheetId="37">#REF!</definedName>
    <definedName name="_______obl1824" localSheetId="38">#REF!</definedName>
    <definedName name="_______obl1824">#REF!</definedName>
    <definedName name="_______obl1825" localSheetId="25">#REF!</definedName>
    <definedName name="_______obl1825" localSheetId="29">#REF!</definedName>
    <definedName name="_______obl1825" localSheetId="27">#REF!</definedName>
    <definedName name="_______obl1825" localSheetId="28">#REF!</definedName>
    <definedName name="_______obl1825" localSheetId="19">#REF!</definedName>
    <definedName name="_______obl1825" localSheetId="30">#REF!</definedName>
    <definedName name="_______obl1825" localSheetId="32">#REF!</definedName>
    <definedName name="_______obl1825" localSheetId="36">#REF!</definedName>
    <definedName name="_______obl1825" localSheetId="37">#REF!</definedName>
    <definedName name="_______obl1825" localSheetId="38">#REF!</definedName>
    <definedName name="_______obl1825">#REF!</definedName>
    <definedName name="_______obl1826" localSheetId="25">#REF!</definedName>
    <definedName name="_______obl1826" localSheetId="29">#REF!</definedName>
    <definedName name="_______obl1826" localSheetId="27">#REF!</definedName>
    <definedName name="_______obl1826" localSheetId="28">#REF!</definedName>
    <definedName name="_______obl1826" localSheetId="19">#REF!</definedName>
    <definedName name="_______obl1826" localSheetId="30">#REF!</definedName>
    <definedName name="_______obl1826" localSheetId="32">#REF!</definedName>
    <definedName name="_______obl1826" localSheetId="36">#REF!</definedName>
    <definedName name="_______obl1826" localSheetId="37">#REF!</definedName>
    <definedName name="_______obl1826" localSheetId="38">#REF!</definedName>
    <definedName name="_______obl1826">#REF!</definedName>
    <definedName name="_______obl1827" localSheetId="25">#REF!</definedName>
    <definedName name="_______obl1827" localSheetId="29">#REF!</definedName>
    <definedName name="_______obl1827" localSheetId="27">#REF!</definedName>
    <definedName name="_______obl1827" localSheetId="28">#REF!</definedName>
    <definedName name="_______obl1827" localSheetId="19">#REF!</definedName>
    <definedName name="_______obl1827" localSheetId="30">#REF!</definedName>
    <definedName name="_______obl1827" localSheetId="32">#REF!</definedName>
    <definedName name="_______obl1827" localSheetId="36">#REF!</definedName>
    <definedName name="_______obl1827" localSheetId="37">#REF!</definedName>
    <definedName name="_______obl1827" localSheetId="38">#REF!</definedName>
    <definedName name="_______obl1827">#REF!</definedName>
    <definedName name="_______obl1828" localSheetId="25">#REF!</definedName>
    <definedName name="_______obl1828" localSheetId="29">#REF!</definedName>
    <definedName name="_______obl1828" localSheetId="27">#REF!</definedName>
    <definedName name="_______obl1828" localSheetId="28">#REF!</definedName>
    <definedName name="_______obl1828" localSheetId="19">#REF!</definedName>
    <definedName name="_______obl1828" localSheetId="30">#REF!</definedName>
    <definedName name="_______obl1828" localSheetId="32">#REF!</definedName>
    <definedName name="_______obl1828" localSheetId="36">#REF!</definedName>
    <definedName name="_______obl1828" localSheetId="37">#REF!</definedName>
    <definedName name="_______obl1828" localSheetId="38">#REF!</definedName>
    <definedName name="_______obl1828">#REF!</definedName>
    <definedName name="_______obl1829" localSheetId="25">#REF!</definedName>
    <definedName name="_______obl1829" localSheetId="29">#REF!</definedName>
    <definedName name="_______obl1829" localSheetId="27">#REF!</definedName>
    <definedName name="_______obl1829" localSheetId="28">#REF!</definedName>
    <definedName name="_______obl1829" localSheetId="19">#REF!</definedName>
    <definedName name="_______obl1829" localSheetId="30">#REF!</definedName>
    <definedName name="_______obl1829" localSheetId="32">#REF!</definedName>
    <definedName name="_______obl1829" localSheetId="36">#REF!</definedName>
    <definedName name="_______obl1829" localSheetId="37">#REF!</definedName>
    <definedName name="_______obl1829" localSheetId="38">#REF!</definedName>
    <definedName name="_______obl1829">#REF!</definedName>
    <definedName name="_______obl183" localSheetId="25">#REF!</definedName>
    <definedName name="_______obl183" localSheetId="29">#REF!</definedName>
    <definedName name="_______obl183" localSheetId="27">#REF!</definedName>
    <definedName name="_______obl183" localSheetId="28">#REF!</definedName>
    <definedName name="_______obl183" localSheetId="19">#REF!</definedName>
    <definedName name="_______obl183" localSheetId="30">#REF!</definedName>
    <definedName name="_______obl183" localSheetId="32">#REF!</definedName>
    <definedName name="_______obl183" localSheetId="36">#REF!</definedName>
    <definedName name="_______obl183" localSheetId="37">#REF!</definedName>
    <definedName name="_______obl183" localSheetId="38">#REF!</definedName>
    <definedName name="_______obl183">#REF!</definedName>
    <definedName name="_______obl1831" localSheetId="25">#REF!</definedName>
    <definedName name="_______obl1831" localSheetId="29">#REF!</definedName>
    <definedName name="_______obl1831" localSheetId="27">#REF!</definedName>
    <definedName name="_______obl1831" localSheetId="28">#REF!</definedName>
    <definedName name="_______obl1831" localSheetId="19">#REF!</definedName>
    <definedName name="_______obl1831" localSheetId="30">#REF!</definedName>
    <definedName name="_______obl1831" localSheetId="32">#REF!</definedName>
    <definedName name="_______obl1831" localSheetId="36">#REF!</definedName>
    <definedName name="_______obl1831" localSheetId="37">#REF!</definedName>
    <definedName name="_______obl1831" localSheetId="38">#REF!</definedName>
    <definedName name="_______obl1831">#REF!</definedName>
    <definedName name="_______obl1832" localSheetId="25">#REF!</definedName>
    <definedName name="_______obl1832" localSheetId="29">#REF!</definedName>
    <definedName name="_______obl1832" localSheetId="27">#REF!</definedName>
    <definedName name="_______obl1832" localSheetId="28">#REF!</definedName>
    <definedName name="_______obl1832" localSheetId="19">#REF!</definedName>
    <definedName name="_______obl1832" localSheetId="30">#REF!</definedName>
    <definedName name="_______obl1832" localSheetId="32">#REF!</definedName>
    <definedName name="_______obl1832" localSheetId="36">#REF!</definedName>
    <definedName name="_______obl1832" localSheetId="37">#REF!</definedName>
    <definedName name="_______obl1832" localSheetId="38">#REF!</definedName>
    <definedName name="_______obl1832">#REF!</definedName>
    <definedName name="_______obl184" localSheetId="25">#REF!</definedName>
    <definedName name="_______obl184" localSheetId="29">#REF!</definedName>
    <definedName name="_______obl184" localSheetId="27">#REF!</definedName>
    <definedName name="_______obl184" localSheetId="28">#REF!</definedName>
    <definedName name="_______obl184" localSheetId="19">#REF!</definedName>
    <definedName name="_______obl184" localSheetId="30">#REF!</definedName>
    <definedName name="_______obl184" localSheetId="32">#REF!</definedName>
    <definedName name="_______obl184" localSheetId="36">#REF!</definedName>
    <definedName name="_______obl184" localSheetId="37">#REF!</definedName>
    <definedName name="_______obl184" localSheetId="38">#REF!</definedName>
    <definedName name="_______obl184">#REF!</definedName>
    <definedName name="_______obl185" localSheetId="25">#REF!</definedName>
    <definedName name="_______obl185" localSheetId="29">#REF!</definedName>
    <definedName name="_______obl185" localSheetId="27">#REF!</definedName>
    <definedName name="_______obl185" localSheetId="28">#REF!</definedName>
    <definedName name="_______obl185" localSheetId="19">#REF!</definedName>
    <definedName name="_______obl185" localSheetId="30">#REF!</definedName>
    <definedName name="_______obl185" localSheetId="32">#REF!</definedName>
    <definedName name="_______obl185" localSheetId="36">#REF!</definedName>
    <definedName name="_______obl185" localSheetId="37">#REF!</definedName>
    <definedName name="_______obl185" localSheetId="38">#REF!</definedName>
    <definedName name="_______obl185">#REF!</definedName>
    <definedName name="_______obl186" localSheetId="25">#REF!</definedName>
    <definedName name="_______obl186" localSheetId="29">#REF!</definedName>
    <definedName name="_______obl186" localSheetId="27">#REF!</definedName>
    <definedName name="_______obl186" localSheetId="28">#REF!</definedName>
    <definedName name="_______obl186" localSheetId="19">#REF!</definedName>
    <definedName name="_______obl186" localSheetId="30">#REF!</definedName>
    <definedName name="_______obl186" localSheetId="32">#REF!</definedName>
    <definedName name="_______obl186" localSheetId="36">#REF!</definedName>
    <definedName name="_______obl186" localSheetId="37">#REF!</definedName>
    <definedName name="_______obl186" localSheetId="38">#REF!</definedName>
    <definedName name="_______obl186">#REF!</definedName>
    <definedName name="_______obl187" localSheetId="25">#REF!</definedName>
    <definedName name="_______obl187" localSheetId="29">#REF!</definedName>
    <definedName name="_______obl187" localSheetId="27">#REF!</definedName>
    <definedName name="_______obl187" localSheetId="28">#REF!</definedName>
    <definedName name="_______obl187" localSheetId="19">#REF!</definedName>
    <definedName name="_______obl187" localSheetId="30">#REF!</definedName>
    <definedName name="_______obl187" localSheetId="32">#REF!</definedName>
    <definedName name="_______obl187" localSheetId="36">#REF!</definedName>
    <definedName name="_______obl187" localSheetId="37">#REF!</definedName>
    <definedName name="_______obl187" localSheetId="38">#REF!</definedName>
    <definedName name="_______obl187">#REF!</definedName>
    <definedName name="______obl11" localSheetId="11">#REF!</definedName>
    <definedName name="______obl11" localSheetId="23">#REF!</definedName>
    <definedName name="______obl11" localSheetId="24">#REF!</definedName>
    <definedName name="______obl11" localSheetId="22">#REF!</definedName>
    <definedName name="______obl11" localSheetId="25">#REF!</definedName>
    <definedName name="______obl11" localSheetId="29">#REF!</definedName>
    <definedName name="______obl11" localSheetId="27">#REF!</definedName>
    <definedName name="______obl11" localSheetId="28">#REF!</definedName>
    <definedName name="______obl11" localSheetId="12">#REF!</definedName>
    <definedName name="______obl11" localSheetId="14">#REF!</definedName>
    <definedName name="______obl11" localSheetId="19">#REF!</definedName>
    <definedName name="______obl11" localSheetId="30">#REF!</definedName>
    <definedName name="______obl11" localSheetId="31">#REF!</definedName>
    <definedName name="______obl11" localSheetId="32">#REF!</definedName>
    <definedName name="______obl11" localSheetId="39">#REF!</definedName>
    <definedName name="______obl11">#REF!</definedName>
    <definedName name="______obl12" localSheetId="11">#REF!</definedName>
    <definedName name="______obl12" localSheetId="23">#REF!</definedName>
    <definedName name="______obl12" localSheetId="24">#REF!</definedName>
    <definedName name="______obl12" localSheetId="22">#REF!</definedName>
    <definedName name="______obl12" localSheetId="25">#REF!</definedName>
    <definedName name="______obl12" localSheetId="29">#REF!</definedName>
    <definedName name="______obl12" localSheetId="27">#REF!</definedName>
    <definedName name="______obl12" localSheetId="28">#REF!</definedName>
    <definedName name="______obl12" localSheetId="12">#REF!</definedName>
    <definedName name="______obl12" localSheetId="14">#REF!</definedName>
    <definedName name="______obl12" localSheetId="19">#REF!</definedName>
    <definedName name="______obl12" localSheetId="30">#REF!</definedName>
    <definedName name="______obl12" localSheetId="31">#REF!</definedName>
    <definedName name="______obl12" localSheetId="32">#REF!</definedName>
    <definedName name="______obl12" localSheetId="39">#REF!</definedName>
    <definedName name="______obl12">#REF!</definedName>
    <definedName name="______obl13" localSheetId="11">#REF!</definedName>
    <definedName name="______obl13" localSheetId="23">#REF!</definedName>
    <definedName name="______obl13" localSheetId="24">#REF!</definedName>
    <definedName name="______obl13" localSheetId="22">#REF!</definedName>
    <definedName name="______obl13" localSheetId="25">#REF!</definedName>
    <definedName name="______obl13" localSheetId="29">#REF!</definedName>
    <definedName name="______obl13" localSheetId="27">#REF!</definedName>
    <definedName name="______obl13" localSheetId="28">#REF!</definedName>
    <definedName name="______obl13" localSheetId="12">#REF!</definedName>
    <definedName name="______obl13" localSheetId="14">#REF!</definedName>
    <definedName name="______obl13" localSheetId="19">#REF!</definedName>
    <definedName name="______obl13" localSheetId="30">#REF!</definedName>
    <definedName name="______obl13" localSheetId="31">#REF!</definedName>
    <definedName name="______obl13" localSheetId="32">#REF!</definedName>
    <definedName name="______obl13" localSheetId="39">#REF!</definedName>
    <definedName name="______obl13">#REF!</definedName>
    <definedName name="______obl14" localSheetId="11">#REF!</definedName>
    <definedName name="______obl14" localSheetId="23">#REF!</definedName>
    <definedName name="______obl14" localSheetId="24">#REF!</definedName>
    <definedName name="______obl14" localSheetId="22">#REF!</definedName>
    <definedName name="______obl14" localSheetId="25">#REF!</definedName>
    <definedName name="______obl14" localSheetId="29">#REF!</definedName>
    <definedName name="______obl14" localSheetId="27">#REF!</definedName>
    <definedName name="______obl14" localSheetId="28">#REF!</definedName>
    <definedName name="______obl14" localSheetId="12">#REF!</definedName>
    <definedName name="______obl14" localSheetId="14">#REF!</definedName>
    <definedName name="______obl14" localSheetId="19">#REF!</definedName>
    <definedName name="______obl14" localSheetId="30">#REF!</definedName>
    <definedName name="______obl14" localSheetId="31">#REF!</definedName>
    <definedName name="______obl14" localSheetId="32">#REF!</definedName>
    <definedName name="______obl14" localSheetId="39">#REF!</definedName>
    <definedName name="______obl14">#REF!</definedName>
    <definedName name="______obl15" localSheetId="11">#REF!</definedName>
    <definedName name="______obl15" localSheetId="23">#REF!</definedName>
    <definedName name="______obl15" localSheetId="24">#REF!</definedName>
    <definedName name="______obl15" localSheetId="22">#REF!</definedName>
    <definedName name="______obl15" localSheetId="25">#REF!</definedName>
    <definedName name="______obl15" localSheetId="29">#REF!</definedName>
    <definedName name="______obl15" localSheetId="27">#REF!</definedName>
    <definedName name="______obl15" localSheetId="28">#REF!</definedName>
    <definedName name="______obl15" localSheetId="12">#REF!</definedName>
    <definedName name="______obl15" localSheetId="14">#REF!</definedName>
    <definedName name="______obl15" localSheetId="19">#REF!</definedName>
    <definedName name="______obl15" localSheetId="30">#REF!</definedName>
    <definedName name="______obl15" localSheetId="31">#REF!</definedName>
    <definedName name="______obl15" localSheetId="32">#REF!</definedName>
    <definedName name="______obl15" localSheetId="39">#REF!</definedName>
    <definedName name="______obl15">#REF!</definedName>
    <definedName name="______obl16" localSheetId="11">#REF!</definedName>
    <definedName name="______obl16" localSheetId="23">#REF!</definedName>
    <definedName name="______obl16" localSheetId="24">#REF!</definedName>
    <definedName name="______obl16" localSheetId="22">#REF!</definedName>
    <definedName name="______obl16" localSheetId="25">#REF!</definedName>
    <definedName name="______obl16" localSheetId="29">#REF!</definedName>
    <definedName name="______obl16" localSheetId="27">#REF!</definedName>
    <definedName name="______obl16" localSheetId="28">#REF!</definedName>
    <definedName name="______obl16" localSheetId="12">#REF!</definedName>
    <definedName name="______obl16" localSheetId="14">#REF!</definedName>
    <definedName name="______obl16" localSheetId="19">#REF!</definedName>
    <definedName name="______obl16" localSheetId="30">#REF!</definedName>
    <definedName name="______obl16" localSheetId="31">#REF!</definedName>
    <definedName name="______obl16" localSheetId="32">#REF!</definedName>
    <definedName name="______obl16" localSheetId="39">#REF!</definedName>
    <definedName name="______obl16">#REF!</definedName>
    <definedName name="______obl17" localSheetId="11">#REF!</definedName>
    <definedName name="______obl17" localSheetId="23">#REF!</definedName>
    <definedName name="______obl17" localSheetId="24">#REF!</definedName>
    <definedName name="______obl17" localSheetId="22">#REF!</definedName>
    <definedName name="______obl17" localSheetId="25">#REF!</definedName>
    <definedName name="______obl17" localSheetId="29">#REF!</definedName>
    <definedName name="______obl17" localSheetId="27">#REF!</definedName>
    <definedName name="______obl17" localSheetId="28">#REF!</definedName>
    <definedName name="______obl17" localSheetId="12">#REF!</definedName>
    <definedName name="______obl17" localSheetId="14">#REF!</definedName>
    <definedName name="______obl17" localSheetId="19">#REF!</definedName>
    <definedName name="______obl17" localSheetId="30">#REF!</definedName>
    <definedName name="______obl17" localSheetId="31">#REF!</definedName>
    <definedName name="______obl17" localSheetId="32">#REF!</definedName>
    <definedName name="______obl17" localSheetId="39">#REF!</definedName>
    <definedName name="______obl17">#REF!</definedName>
    <definedName name="______obl1710" localSheetId="11">#REF!</definedName>
    <definedName name="______obl1710" localSheetId="23">#REF!</definedName>
    <definedName name="______obl1710" localSheetId="24">#REF!</definedName>
    <definedName name="______obl1710" localSheetId="22">#REF!</definedName>
    <definedName name="______obl1710" localSheetId="25">#REF!</definedName>
    <definedName name="______obl1710" localSheetId="29">#REF!</definedName>
    <definedName name="______obl1710" localSheetId="27">#REF!</definedName>
    <definedName name="______obl1710" localSheetId="28">#REF!</definedName>
    <definedName name="______obl1710" localSheetId="12">#REF!</definedName>
    <definedName name="______obl1710" localSheetId="14">#REF!</definedName>
    <definedName name="______obl1710" localSheetId="19">#REF!</definedName>
    <definedName name="______obl1710" localSheetId="30">#REF!</definedName>
    <definedName name="______obl1710" localSheetId="31">#REF!</definedName>
    <definedName name="______obl1710" localSheetId="32">#REF!</definedName>
    <definedName name="______obl1710" localSheetId="39">#REF!</definedName>
    <definedName name="______obl1710">#REF!</definedName>
    <definedName name="______obl1711" localSheetId="11">#REF!</definedName>
    <definedName name="______obl1711" localSheetId="23">#REF!</definedName>
    <definedName name="______obl1711" localSheetId="24">#REF!</definedName>
    <definedName name="______obl1711" localSheetId="22">#REF!</definedName>
    <definedName name="______obl1711" localSheetId="25">#REF!</definedName>
    <definedName name="______obl1711" localSheetId="29">#REF!</definedName>
    <definedName name="______obl1711" localSheetId="27">#REF!</definedName>
    <definedName name="______obl1711" localSheetId="28">#REF!</definedName>
    <definedName name="______obl1711" localSheetId="12">#REF!</definedName>
    <definedName name="______obl1711" localSheetId="14">#REF!</definedName>
    <definedName name="______obl1711" localSheetId="19">#REF!</definedName>
    <definedName name="______obl1711" localSheetId="30">#REF!</definedName>
    <definedName name="______obl1711" localSheetId="31">#REF!</definedName>
    <definedName name="______obl1711" localSheetId="32">#REF!</definedName>
    <definedName name="______obl1711" localSheetId="39">#REF!</definedName>
    <definedName name="______obl1711">#REF!</definedName>
    <definedName name="______obl1712" localSheetId="11">#REF!</definedName>
    <definedName name="______obl1712" localSheetId="23">#REF!</definedName>
    <definedName name="______obl1712" localSheetId="24">#REF!</definedName>
    <definedName name="______obl1712" localSheetId="22">#REF!</definedName>
    <definedName name="______obl1712" localSheetId="25">#REF!</definedName>
    <definedName name="______obl1712" localSheetId="29">#REF!</definedName>
    <definedName name="______obl1712" localSheetId="27">#REF!</definedName>
    <definedName name="______obl1712" localSheetId="28">#REF!</definedName>
    <definedName name="______obl1712" localSheetId="12">#REF!</definedName>
    <definedName name="______obl1712" localSheetId="14">#REF!</definedName>
    <definedName name="______obl1712" localSheetId="19">#REF!</definedName>
    <definedName name="______obl1712" localSheetId="30">#REF!</definedName>
    <definedName name="______obl1712" localSheetId="31">#REF!</definedName>
    <definedName name="______obl1712" localSheetId="32">#REF!</definedName>
    <definedName name="______obl1712" localSheetId="39">#REF!</definedName>
    <definedName name="______obl1712">#REF!</definedName>
    <definedName name="______obl1713" localSheetId="11">#REF!</definedName>
    <definedName name="______obl1713" localSheetId="23">#REF!</definedName>
    <definedName name="______obl1713" localSheetId="24">#REF!</definedName>
    <definedName name="______obl1713" localSheetId="22">#REF!</definedName>
    <definedName name="______obl1713" localSheetId="25">#REF!</definedName>
    <definedName name="______obl1713" localSheetId="29">#REF!</definedName>
    <definedName name="______obl1713" localSheetId="27">#REF!</definedName>
    <definedName name="______obl1713" localSheetId="28">#REF!</definedName>
    <definedName name="______obl1713" localSheetId="12">#REF!</definedName>
    <definedName name="______obl1713" localSheetId="14">#REF!</definedName>
    <definedName name="______obl1713" localSheetId="19">#REF!</definedName>
    <definedName name="______obl1713" localSheetId="30">#REF!</definedName>
    <definedName name="______obl1713" localSheetId="31">#REF!</definedName>
    <definedName name="______obl1713" localSheetId="32">#REF!</definedName>
    <definedName name="______obl1713" localSheetId="39">#REF!</definedName>
    <definedName name="______obl1713">#REF!</definedName>
    <definedName name="______obl1714" localSheetId="11">#REF!</definedName>
    <definedName name="______obl1714" localSheetId="23">#REF!</definedName>
    <definedName name="______obl1714" localSheetId="24">#REF!</definedName>
    <definedName name="______obl1714" localSheetId="22">#REF!</definedName>
    <definedName name="______obl1714" localSheetId="25">#REF!</definedName>
    <definedName name="______obl1714" localSheetId="29">#REF!</definedName>
    <definedName name="______obl1714" localSheetId="27">#REF!</definedName>
    <definedName name="______obl1714" localSheetId="28">#REF!</definedName>
    <definedName name="______obl1714" localSheetId="12">#REF!</definedName>
    <definedName name="______obl1714" localSheetId="14">#REF!</definedName>
    <definedName name="______obl1714" localSheetId="19">#REF!</definedName>
    <definedName name="______obl1714" localSheetId="30">#REF!</definedName>
    <definedName name="______obl1714" localSheetId="31">#REF!</definedName>
    <definedName name="______obl1714" localSheetId="32">#REF!</definedName>
    <definedName name="______obl1714" localSheetId="39">#REF!</definedName>
    <definedName name="______obl1714">#REF!</definedName>
    <definedName name="______obl1715" localSheetId="11">#REF!</definedName>
    <definedName name="______obl1715" localSheetId="23">#REF!</definedName>
    <definedName name="______obl1715" localSheetId="24">#REF!</definedName>
    <definedName name="______obl1715" localSheetId="22">#REF!</definedName>
    <definedName name="______obl1715" localSheetId="25">#REF!</definedName>
    <definedName name="______obl1715" localSheetId="29">#REF!</definedName>
    <definedName name="______obl1715" localSheetId="27">#REF!</definedName>
    <definedName name="______obl1715" localSheetId="28">#REF!</definedName>
    <definedName name="______obl1715" localSheetId="12">#REF!</definedName>
    <definedName name="______obl1715" localSheetId="14">#REF!</definedName>
    <definedName name="______obl1715" localSheetId="19">#REF!</definedName>
    <definedName name="______obl1715" localSheetId="30">#REF!</definedName>
    <definedName name="______obl1715" localSheetId="31">#REF!</definedName>
    <definedName name="______obl1715" localSheetId="32">#REF!</definedName>
    <definedName name="______obl1715" localSheetId="39">#REF!</definedName>
    <definedName name="______obl1715">#REF!</definedName>
    <definedName name="______obl1716" localSheetId="11">#REF!</definedName>
    <definedName name="______obl1716" localSheetId="23">#REF!</definedName>
    <definedName name="______obl1716" localSheetId="24">#REF!</definedName>
    <definedName name="______obl1716" localSheetId="22">#REF!</definedName>
    <definedName name="______obl1716" localSheetId="25">#REF!</definedName>
    <definedName name="______obl1716" localSheetId="29">#REF!</definedName>
    <definedName name="______obl1716" localSheetId="27">#REF!</definedName>
    <definedName name="______obl1716" localSheetId="28">#REF!</definedName>
    <definedName name="______obl1716" localSheetId="12">#REF!</definedName>
    <definedName name="______obl1716" localSheetId="14">#REF!</definedName>
    <definedName name="______obl1716" localSheetId="19">#REF!</definedName>
    <definedName name="______obl1716" localSheetId="30">#REF!</definedName>
    <definedName name="______obl1716" localSheetId="31">#REF!</definedName>
    <definedName name="______obl1716" localSheetId="32">#REF!</definedName>
    <definedName name="______obl1716" localSheetId="39">#REF!</definedName>
    <definedName name="______obl1716">#REF!</definedName>
    <definedName name="______obl1717" localSheetId="11">#REF!</definedName>
    <definedName name="______obl1717" localSheetId="23">#REF!</definedName>
    <definedName name="______obl1717" localSheetId="24">#REF!</definedName>
    <definedName name="______obl1717" localSheetId="22">#REF!</definedName>
    <definedName name="______obl1717" localSheetId="25">#REF!</definedName>
    <definedName name="______obl1717" localSheetId="29">#REF!</definedName>
    <definedName name="______obl1717" localSheetId="27">#REF!</definedName>
    <definedName name="______obl1717" localSheetId="28">#REF!</definedName>
    <definedName name="______obl1717" localSheetId="12">#REF!</definedName>
    <definedName name="______obl1717" localSheetId="14">#REF!</definedName>
    <definedName name="______obl1717" localSheetId="19">#REF!</definedName>
    <definedName name="______obl1717" localSheetId="30">#REF!</definedName>
    <definedName name="______obl1717" localSheetId="31">#REF!</definedName>
    <definedName name="______obl1717" localSheetId="32">#REF!</definedName>
    <definedName name="______obl1717" localSheetId="39">#REF!</definedName>
    <definedName name="______obl1717">#REF!</definedName>
    <definedName name="______obl1718" localSheetId="11">#REF!</definedName>
    <definedName name="______obl1718" localSheetId="23">#REF!</definedName>
    <definedName name="______obl1718" localSheetId="24">#REF!</definedName>
    <definedName name="______obl1718" localSheetId="22">#REF!</definedName>
    <definedName name="______obl1718" localSheetId="25">#REF!</definedName>
    <definedName name="______obl1718" localSheetId="29">#REF!</definedName>
    <definedName name="______obl1718" localSheetId="27">#REF!</definedName>
    <definedName name="______obl1718" localSheetId="28">#REF!</definedName>
    <definedName name="______obl1718" localSheetId="12">#REF!</definedName>
    <definedName name="______obl1718" localSheetId="14">#REF!</definedName>
    <definedName name="______obl1718" localSheetId="19">#REF!</definedName>
    <definedName name="______obl1718" localSheetId="30">#REF!</definedName>
    <definedName name="______obl1718" localSheetId="31">#REF!</definedName>
    <definedName name="______obl1718" localSheetId="32">#REF!</definedName>
    <definedName name="______obl1718" localSheetId="39">#REF!</definedName>
    <definedName name="______obl1718">#REF!</definedName>
    <definedName name="______obl1719" localSheetId="11">#REF!</definedName>
    <definedName name="______obl1719" localSheetId="23">#REF!</definedName>
    <definedName name="______obl1719" localSheetId="24">#REF!</definedName>
    <definedName name="______obl1719" localSheetId="22">#REF!</definedName>
    <definedName name="______obl1719" localSheetId="25">#REF!</definedName>
    <definedName name="______obl1719" localSheetId="29">#REF!</definedName>
    <definedName name="______obl1719" localSheetId="27">#REF!</definedName>
    <definedName name="______obl1719" localSheetId="28">#REF!</definedName>
    <definedName name="______obl1719" localSheetId="12">#REF!</definedName>
    <definedName name="______obl1719" localSheetId="14">#REF!</definedName>
    <definedName name="______obl1719" localSheetId="19">#REF!</definedName>
    <definedName name="______obl1719" localSheetId="30">#REF!</definedName>
    <definedName name="______obl1719" localSheetId="31">#REF!</definedName>
    <definedName name="______obl1719" localSheetId="32">#REF!</definedName>
    <definedName name="______obl1719" localSheetId="39">#REF!</definedName>
    <definedName name="______obl1719">#REF!</definedName>
    <definedName name="______obl173" localSheetId="11">#REF!</definedName>
    <definedName name="______obl173" localSheetId="23">#REF!</definedName>
    <definedName name="______obl173" localSheetId="24">#REF!</definedName>
    <definedName name="______obl173" localSheetId="22">#REF!</definedName>
    <definedName name="______obl173" localSheetId="25">#REF!</definedName>
    <definedName name="______obl173" localSheetId="29">#REF!</definedName>
    <definedName name="______obl173" localSheetId="27">#REF!</definedName>
    <definedName name="______obl173" localSheetId="28">#REF!</definedName>
    <definedName name="______obl173" localSheetId="12">#REF!</definedName>
    <definedName name="______obl173" localSheetId="14">#REF!</definedName>
    <definedName name="______obl173" localSheetId="19">#REF!</definedName>
    <definedName name="______obl173" localSheetId="30">#REF!</definedName>
    <definedName name="______obl173" localSheetId="31">#REF!</definedName>
    <definedName name="______obl173" localSheetId="32">#REF!</definedName>
    <definedName name="______obl173" localSheetId="39">#REF!</definedName>
    <definedName name="______obl173">#REF!</definedName>
    <definedName name="______obl174" localSheetId="11">#REF!</definedName>
    <definedName name="______obl174" localSheetId="23">#REF!</definedName>
    <definedName name="______obl174" localSheetId="24">#REF!</definedName>
    <definedName name="______obl174" localSheetId="22">#REF!</definedName>
    <definedName name="______obl174" localSheetId="25">#REF!</definedName>
    <definedName name="______obl174" localSheetId="29">#REF!</definedName>
    <definedName name="______obl174" localSheetId="27">#REF!</definedName>
    <definedName name="______obl174" localSheetId="28">#REF!</definedName>
    <definedName name="______obl174" localSheetId="12">#REF!</definedName>
    <definedName name="______obl174" localSheetId="14">#REF!</definedName>
    <definedName name="______obl174" localSheetId="19">#REF!</definedName>
    <definedName name="______obl174" localSheetId="30">#REF!</definedName>
    <definedName name="______obl174" localSheetId="31">#REF!</definedName>
    <definedName name="______obl174" localSheetId="32">#REF!</definedName>
    <definedName name="______obl174" localSheetId="39">#REF!</definedName>
    <definedName name="______obl174">#REF!</definedName>
    <definedName name="______obl175" localSheetId="11">#REF!</definedName>
    <definedName name="______obl175" localSheetId="23">#REF!</definedName>
    <definedName name="______obl175" localSheetId="24">#REF!</definedName>
    <definedName name="______obl175" localSheetId="22">#REF!</definedName>
    <definedName name="______obl175" localSheetId="25">#REF!</definedName>
    <definedName name="______obl175" localSheetId="29">#REF!</definedName>
    <definedName name="______obl175" localSheetId="27">#REF!</definedName>
    <definedName name="______obl175" localSheetId="28">#REF!</definedName>
    <definedName name="______obl175" localSheetId="12">#REF!</definedName>
    <definedName name="______obl175" localSheetId="14">#REF!</definedName>
    <definedName name="______obl175" localSheetId="19">#REF!</definedName>
    <definedName name="______obl175" localSheetId="30">#REF!</definedName>
    <definedName name="______obl175" localSheetId="31">#REF!</definedName>
    <definedName name="______obl175" localSheetId="32">#REF!</definedName>
    <definedName name="______obl175" localSheetId="39">#REF!</definedName>
    <definedName name="______obl175">#REF!</definedName>
    <definedName name="______obl176" localSheetId="11">#REF!</definedName>
    <definedName name="______obl176" localSheetId="23">#REF!</definedName>
    <definedName name="______obl176" localSheetId="24">#REF!</definedName>
    <definedName name="______obl176" localSheetId="22">#REF!</definedName>
    <definedName name="______obl176" localSheetId="25">#REF!</definedName>
    <definedName name="______obl176" localSheetId="29">#REF!</definedName>
    <definedName name="______obl176" localSheetId="27">#REF!</definedName>
    <definedName name="______obl176" localSheetId="28">#REF!</definedName>
    <definedName name="______obl176" localSheetId="12">#REF!</definedName>
    <definedName name="______obl176" localSheetId="14">#REF!</definedName>
    <definedName name="______obl176" localSheetId="19">#REF!</definedName>
    <definedName name="______obl176" localSheetId="30">#REF!</definedName>
    <definedName name="______obl176" localSheetId="31">#REF!</definedName>
    <definedName name="______obl176" localSheetId="32">#REF!</definedName>
    <definedName name="______obl176" localSheetId="39">#REF!</definedName>
    <definedName name="______obl176">#REF!</definedName>
    <definedName name="______obl177" localSheetId="11">#REF!</definedName>
    <definedName name="______obl177" localSheetId="23">#REF!</definedName>
    <definedName name="______obl177" localSheetId="24">#REF!</definedName>
    <definedName name="______obl177" localSheetId="22">#REF!</definedName>
    <definedName name="______obl177" localSheetId="25">#REF!</definedName>
    <definedName name="______obl177" localSheetId="29">#REF!</definedName>
    <definedName name="______obl177" localSheetId="27">#REF!</definedName>
    <definedName name="______obl177" localSheetId="28">#REF!</definedName>
    <definedName name="______obl177" localSheetId="12">#REF!</definedName>
    <definedName name="______obl177" localSheetId="14">#REF!</definedName>
    <definedName name="______obl177" localSheetId="19">#REF!</definedName>
    <definedName name="______obl177" localSheetId="30">#REF!</definedName>
    <definedName name="______obl177" localSheetId="31">#REF!</definedName>
    <definedName name="______obl177" localSheetId="32">#REF!</definedName>
    <definedName name="______obl177" localSheetId="39">#REF!</definedName>
    <definedName name="______obl177">#REF!</definedName>
    <definedName name="______obl178" localSheetId="11">#REF!</definedName>
    <definedName name="______obl178" localSheetId="23">#REF!</definedName>
    <definedName name="______obl178" localSheetId="24">#REF!</definedName>
    <definedName name="______obl178" localSheetId="22">#REF!</definedName>
    <definedName name="______obl178" localSheetId="25">#REF!</definedName>
    <definedName name="______obl178" localSheetId="29">#REF!</definedName>
    <definedName name="______obl178" localSheetId="27">#REF!</definedName>
    <definedName name="______obl178" localSheetId="28">#REF!</definedName>
    <definedName name="______obl178" localSheetId="12">#REF!</definedName>
    <definedName name="______obl178" localSheetId="14">#REF!</definedName>
    <definedName name="______obl178" localSheetId="19">#REF!</definedName>
    <definedName name="______obl178" localSheetId="30">#REF!</definedName>
    <definedName name="______obl178" localSheetId="31">#REF!</definedName>
    <definedName name="______obl178" localSheetId="32">#REF!</definedName>
    <definedName name="______obl178" localSheetId="39">#REF!</definedName>
    <definedName name="______obl178">#REF!</definedName>
    <definedName name="______obl179" localSheetId="11">#REF!</definedName>
    <definedName name="______obl179" localSheetId="23">#REF!</definedName>
    <definedName name="______obl179" localSheetId="24">#REF!</definedName>
    <definedName name="______obl179" localSheetId="22">#REF!</definedName>
    <definedName name="______obl179" localSheetId="25">#REF!</definedName>
    <definedName name="______obl179" localSheetId="29">#REF!</definedName>
    <definedName name="______obl179" localSheetId="27">#REF!</definedName>
    <definedName name="______obl179" localSheetId="28">#REF!</definedName>
    <definedName name="______obl179" localSheetId="12">#REF!</definedName>
    <definedName name="______obl179" localSheetId="14">#REF!</definedName>
    <definedName name="______obl179" localSheetId="19">#REF!</definedName>
    <definedName name="______obl179" localSheetId="30">#REF!</definedName>
    <definedName name="______obl179" localSheetId="31">#REF!</definedName>
    <definedName name="______obl179" localSheetId="32">#REF!</definedName>
    <definedName name="______obl179" localSheetId="39">#REF!</definedName>
    <definedName name="______obl179">#REF!</definedName>
    <definedName name="______obl18" localSheetId="11">#REF!</definedName>
    <definedName name="______obl18" localSheetId="23">#REF!</definedName>
    <definedName name="______obl18" localSheetId="24">#REF!</definedName>
    <definedName name="______obl18" localSheetId="22">#REF!</definedName>
    <definedName name="______obl18" localSheetId="25">#REF!</definedName>
    <definedName name="______obl18" localSheetId="29">#REF!</definedName>
    <definedName name="______obl18" localSheetId="27">#REF!</definedName>
    <definedName name="______obl18" localSheetId="28">#REF!</definedName>
    <definedName name="______obl18" localSheetId="12">#REF!</definedName>
    <definedName name="______obl18" localSheetId="14">#REF!</definedName>
    <definedName name="______obl18" localSheetId="19">#REF!</definedName>
    <definedName name="______obl18" localSheetId="30">#REF!</definedName>
    <definedName name="______obl18" localSheetId="31">#REF!</definedName>
    <definedName name="______obl18" localSheetId="32">#REF!</definedName>
    <definedName name="______obl18" localSheetId="39">#REF!</definedName>
    <definedName name="______obl18">#REF!</definedName>
    <definedName name="______obl181" localSheetId="11">#REF!</definedName>
    <definedName name="______obl181" localSheetId="23">#REF!</definedName>
    <definedName name="______obl181" localSheetId="24">#REF!</definedName>
    <definedName name="______obl181" localSheetId="22">#REF!</definedName>
    <definedName name="______obl181" localSheetId="25">#REF!</definedName>
    <definedName name="______obl181" localSheetId="29">#REF!</definedName>
    <definedName name="______obl181" localSheetId="27">#REF!</definedName>
    <definedName name="______obl181" localSheetId="28">#REF!</definedName>
    <definedName name="______obl181" localSheetId="12">#REF!</definedName>
    <definedName name="______obl181" localSheetId="14">#REF!</definedName>
    <definedName name="______obl181" localSheetId="19">#REF!</definedName>
    <definedName name="______obl181" localSheetId="30">#REF!</definedName>
    <definedName name="______obl181" localSheetId="31">#REF!</definedName>
    <definedName name="______obl181" localSheetId="32">#REF!</definedName>
    <definedName name="______obl181" localSheetId="39">#REF!</definedName>
    <definedName name="______obl181">#REF!</definedName>
    <definedName name="______obl1816" localSheetId="11">#REF!</definedName>
    <definedName name="______obl1816" localSheetId="23">#REF!</definedName>
    <definedName name="______obl1816" localSheetId="24">#REF!</definedName>
    <definedName name="______obl1816" localSheetId="22">#REF!</definedName>
    <definedName name="______obl1816" localSheetId="25">#REF!</definedName>
    <definedName name="______obl1816" localSheetId="29">#REF!</definedName>
    <definedName name="______obl1816" localSheetId="27">#REF!</definedName>
    <definedName name="______obl1816" localSheetId="28">#REF!</definedName>
    <definedName name="______obl1816" localSheetId="12">#REF!</definedName>
    <definedName name="______obl1816" localSheetId="14">#REF!</definedName>
    <definedName name="______obl1816" localSheetId="19">#REF!</definedName>
    <definedName name="______obl1816" localSheetId="30">#REF!</definedName>
    <definedName name="______obl1816" localSheetId="31">#REF!</definedName>
    <definedName name="______obl1816" localSheetId="32">#REF!</definedName>
    <definedName name="______obl1816" localSheetId="39">#REF!</definedName>
    <definedName name="______obl1816">#REF!</definedName>
    <definedName name="______obl1820" localSheetId="11">#REF!</definedName>
    <definedName name="______obl1820" localSheetId="23">#REF!</definedName>
    <definedName name="______obl1820" localSheetId="24">#REF!</definedName>
    <definedName name="______obl1820" localSheetId="22">#REF!</definedName>
    <definedName name="______obl1820" localSheetId="25">#REF!</definedName>
    <definedName name="______obl1820" localSheetId="29">#REF!</definedName>
    <definedName name="______obl1820" localSheetId="27">#REF!</definedName>
    <definedName name="______obl1820" localSheetId="28">#REF!</definedName>
    <definedName name="______obl1820" localSheetId="12">#REF!</definedName>
    <definedName name="______obl1820" localSheetId="14">#REF!</definedName>
    <definedName name="______obl1820" localSheetId="19">#REF!</definedName>
    <definedName name="______obl1820" localSheetId="30">#REF!</definedName>
    <definedName name="______obl1820" localSheetId="31">#REF!</definedName>
    <definedName name="______obl1820" localSheetId="32">#REF!</definedName>
    <definedName name="______obl1820" localSheetId="39">#REF!</definedName>
    <definedName name="______obl1820">#REF!</definedName>
    <definedName name="______obl1821" localSheetId="11">#REF!</definedName>
    <definedName name="______obl1821" localSheetId="23">#REF!</definedName>
    <definedName name="______obl1821" localSheetId="24">#REF!</definedName>
    <definedName name="______obl1821" localSheetId="22">#REF!</definedName>
    <definedName name="______obl1821" localSheetId="25">#REF!</definedName>
    <definedName name="______obl1821" localSheetId="29">#REF!</definedName>
    <definedName name="______obl1821" localSheetId="27">#REF!</definedName>
    <definedName name="______obl1821" localSheetId="28">#REF!</definedName>
    <definedName name="______obl1821" localSheetId="12">#REF!</definedName>
    <definedName name="______obl1821" localSheetId="14">#REF!</definedName>
    <definedName name="______obl1821" localSheetId="19">#REF!</definedName>
    <definedName name="______obl1821" localSheetId="30">#REF!</definedName>
    <definedName name="______obl1821" localSheetId="31">#REF!</definedName>
    <definedName name="______obl1821" localSheetId="32">#REF!</definedName>
    <definedName name="______obl1821" localSheetId="39">#REF!</definedName>
    <definedName name="______obl1821">#REF!</definedName>
    <definedName name="______obl1822" localSheetId="11">#REF!</definedName>
    <definedName name="______obl1822" localSheetId="23">#REF!</definedName>
    <definedName name="______obl1822" localSheetId="24">#REF!</definedName>
    <definedName name="______obl1822" localSheetId="22">#REF!</definedName>
    <definedName name="______obl1822" localSheetId="25">#REF!</definedName>
    <definedName name="______obl1822" localSheetId="29">#REF!</definedName>
    <definedName name="______obl1822" localSheetId="27">#REF!</definedName>
    <definedName name="______obl1822" localSheetId="28">#REF!</definedName>
    <definedName name="______obl1822" localSheetId="12">#REF!</definedName>
    <definedName name="______obl1822" localSheetId="14">#REF!</definedName>
    <definedName name="______obl1822" localSheetId="19">#REF!</definedName>
    <definedName name="______obl1822" localSheetId="30">#REF!</definedName>
    <definedName name="______obl1822" localSheetId="31">#REF!</definedName>
    <definedName name="______obl1822" localSheetId="32">#REF!</definedName>
    <definedName name="______obl1822" localSheetId="39">#REF!</definedName>
    <definedName name="______obl1822">#REF!</definedName>
    <definedName name="______obl1823" localSheetId="11">#REF!</definedName>
    <definedName name="______obl1823" localSheetId="23">#REF!</definedName>
    <definedName name="______obl1823" localSheetId="24">#REF!</definedName>
    <definedName name="______obl1823" localSheetId="22">#REF!</definedName>
    <definedName name="______obl1823" localSheetId="25">#REF!</definedName>
    <definedName name="______obl1823" localSheetId="29">#REF!</definedName>
    <definedName name="______obl1823" localSheetId="27">#REF!</definedName>
    <definedName name="______obl1823" localSheetId="28">#REF!</definedName>
    <definedName name="______obl1823" localSheetId="12">#REF!</definedName>
    <definedName name="______obl1823" localSheetId="14">#REF!</definedName>
    <definedName name="______obl1823" localSheetId="19">#REF!</definedName>
    <definedName name="______obl1823" localSheetId="30">#REF!</definedName>
    <definedName name="______obl1823" localSheetId="31">#REF!</definedName>
    <definedName name="______obl1823" localSheetId="32">#REF!</definedName>
    <definedName name="______obl1823" localSheetId="39">#REF!</definedName>
    <definedName name="______obl1823">#REF!</definedName>
    <definedName name="______obl1824" localSheetId="11">#REF!</definedName>
    <definedName name="______obl1824" localSheetId="23">#REF!</definedName>
    <definedName name="______obl1824" localSheetId="24">#REF!</definedName>
    <definedName name="______obl1824" localSheetId="22">#REF!</definedName>
    <definedName name="______obl1824" localSheetId="25">#REF!</definedName>
    <definedName name="______obl1824" localSheetId="29">#REF!</definedName>
    <definedName name="______obl1824" localSheetId="27">#REF!</definedName>
    <definedName name="______obl1824" localSheetId="28">#REF!</definedName>
    <definedName name="______obl1824" localSheetId="12">#REF!</definedName>
    <definedName name="______obl1824" localSheetId="14">#REF!</definedName>
    <definedName name="______obl1824" localSheetId="19">#REF!</definedName>
    <definedName name="______obl1824" localSheetId="30">#REF!</definedName>
    <definedName name="______obl1824" localSheetId="31">#REF!</definedName>
    <definedName name="______obl1824" localSheetId="32">#REF!</definedName>
    <definedName name="______obl1824" localSheetId="39">#REF!</definedName>
    <definedName name="______obl1824">#REF!</definedName>
    <definedName name="______obl1825" localSheetId="11">#REF!</definedName>
    <definedName name="______obl1825" localSheetId="23">#REF!</definedName>
    <definedName name="______obl1825" localSheetId="24">#REF!</definedName>
    <definedName name="______obl1825" localSheetId="22">#REF!</definedName>
    <definedName name="______obl1825" localSheetId="25">#REF!</definedName>
    <definedName name="______obl1825" localSheetId="29">#REF!</definedName>
    <definedName name="______obl1825" localSheetId="27">#REF!</definedName>
    <definedName name="______obl1825" localSheetId="28">#REF!</definedName>
    <definedName name="______obl1825" localSheetId="12">#REF!</definedName>
    <definedName name="______obl1825" localSheetId="14">#REF!</definedName>
    <definedName name="______obl1825" localSheetId="19">#REF!</definedName>
    <definedName name="______obl1825" localSheetId="30">#REF!</definedName>
    <definedName name="______obl1825" localSheetId="31">#REF!</definedName>
    <definedName name="______obl1825" localSheetId="32">#REF!</definedName>
    <definedName name="______obl1825" localSheetId="39">#REF!</definedName>
    <definedName name="______obl1825">#REF!</definedName>
    <definedName name="______obl1826" localSheetId="11">#REF!</definedName>
    <definedName name="______obl1826" localSheetId="23">#REF!</definedName>
    <definedName name="______obl1826" localSheetId="24">#REF!</definedName>
    <definedName name="______obl1826" localSheetId="22">#REF!</definedName>
    <definedName name="______obl1826" localSheetId="25">#REF!</definedName>
    <definedName name="______obl1826" localSheetId="29">#REF!</definedName>
    <definedName name="______obl1826" localSheetId="27">#REF!</definedName>
    <definedName name="______obl1826" localSheetId="28">#REF!</definedName>
    <definedName name="______obl1826" localSheetId="12">#REF!</definedName>
    <definedName name="______obl1826" localSheetId="14">#REF!</definedName>
    <definedName name="______obl1826" localSheetId="19">#REF!</definedName>
    <definedName name="______obl1826" localSheetId="30">#REF!</definedName>
    <definedName name="______obl1826" localSheetId="31">#REF!</definedName>
    <definedName name="______obl1826" localSheetId="32">#REF!</definedName>
    <definedName name="______obl1826" localSheetId="39">#REF!</definedName>
    <definedName name="______obl1826">#REF!</definedName>
    <definedName name="______obl1827" localSheetId="11">#REF!</definedName>
    <definedName name="______obl1827" localSheetId="23">#REF!</definedName>
    <definedName name="______obl1827" localSheetId="24">#REF!</definedName>
    <definedName name="______obl1827" localSheetId="22">#REF!</definedName>
    <definedName name="______obl1827" localSheetId="25">#REF!</definedName>
    <definedName name="______obl1827" localSheetId="29">#REF!</definedName>
    <definedName name="______obl1827" localSheetId="27">#REF!</definedName>
    <definedName name="______obl1827" localSheetId="28">#REF!</definedName>
    <definedName name="______obl1827" localSheetId="12">#REF!</definedName>
    <definedName name="______obl1827" localSheetId="14">#REF!</definedName>
    <definedName name="______obl1827" localSheetId="19">#REF!</definedName>
    <definedName name="______obl1827" localSheetId="30">#REF!</definedName>
    <definedName name="______obl1827" localSheetId="31">#REF!</definedName>
    <definedName name="______obl1827" localSheetId="32">#REF!</definedName>
    <definedName name="______obl1827" localSheetId="39">#REF!</definedName>
    <definedName name="______obl1827">#REF!</definedName>
    <definedName name="______obl1828" localSheetId="11">#REF!</definedName>
    <definedName name="______obl1828" localSheetId="23">#REF!</definedName>
    <definedName name="______obl1828" localSheetId="24">#REF!</definedName>
    <definedName name="______obl1828" localSheetId="22">#REF!</definedName>
    <definedName name="______obl1828" localSheetId="25">#REF!</definedName>
    <definedName name="______obl1828" localSheetId="29">#REF!</definedName>
    <definedName name="______obl1828" localSheetId="27">#REF!</definedName>
    <definedName name="______obl1828" localSheetId="28">#REF!</definedName>
    <definedName name="______obl1828" localSheetId="12">#REF!</definedName>
    <definedName name="______obl1828" localSheetId="14">#REF!</definedName>
    <definedName name="______obl1828" localSheetId="19">#REF!</definedName>
    <definedName name="______obl1828" localSheetId="30">#REF!</definedName>
    <definedName name="______obl1828" localSheetId="31">#REF!</definedName>
    <definedName name="______obl1828" localSheetId="32">#REF!</definedName>
    <definedName name="______obl1828" localSheetId="39">#REF!</definedName>
    <definedName name="______obl1828">#REF!</definedName>
    <definedName name="______obl1829" localSheetId="11">#REF!</definedName>
    <definedName name="______obl1829" localSheetId="23">#REF!</definedName>
    <definedName name="______obl1829" localSheetId="24">#REF!</definedName>
    <definedName name="______obl1829" localSheetId="22">#REF!</definedName>
    <definedName name="______obl1829" localSheetId="25">#REF!</definedName>
    <definedName name="______obl1829" localSheetId="29">#REF!</definedName>
    <definedName name="______obl1829" localSheetId="27">#REF!</definedName>
    <definedName name="______obl1829" localSheetId="28">#REF!</definedName>
    <definedName name="______obl1829" localSheetId="12">#REF!</definedName>
    <definedName name="______obl1829" localSheetId="14">#REF!</definedName>
    <definedName name="______obl1829" localSheetId="19">#REF!</definedName>
    <definedName name="______obl1829" localSheetId="30">#REF!</definedName>
    <definedName name="______obl1829" localSheetId="31">#REF!</definedName>
    <definedName name="______obl1829" localSheetId="32">#REF!</definedName>
    <definedName name="______obl1829" localSheetId="39">#REF!</definedName>
    <definedName name="______obl1829">#REF!</definedName>
    <definedName name="______obl183" localSheetId="11">#REF!</definedName>
    <definedName name="______obl183" localSheetId="23">#REF!</definedName>
    <definedName name="______obl183" localSheetId="24">#REF!</definedName>
    <definedName name="______obl183" localSheetId="22">#REF!</definedName>
    <definedName name="______obl183" localSheetId="25">#REF!</definedName>
    <definedName name="______obl183" localSheetId="29">#REF!</definedName>
    <definedName name="______obl183" localSheetId="27">#REF!</definedName>
    <definedName name="______obl183" localSheetId="28">#REF!</definedName>
    <definedName name="______obl183" localSheetId="12">#REF!</definedName>
    <definedName name="______obl183" localSheetId="14">#REF!</definedName>
    <definedName name="______obl183" localSheetId="19">#REF!</definedName>
    <definedName name="______obl183" localSheetId="30">#REF!</definedName>
    <definedName name="______obl183" localSheetId="31">#REF!</definedName>
    <definedName name="______obl183" localSheetId="32">#REF!</definedName>
    <definedName name="______obl183" localSheetId="39">#REF!</definedName>
    <definedName name="______obl183">#REF!</definedName>
    <definedName name="______obl1831" localSheetId="11">#REF!</definedName>
    <definedName name="______obl1831" localSheetId="23">#REF!</definedName>
    <definedName name="______obl1831" localSheetId="24">#REF!</definedName>
    <definedName name="______obl1831" localSheetId="22">#REF!</definedName>
    <definedName name="______obl1831" localSheetId="25">#REF!</definedName>
    <definedName name="______obl1831" localSheetId="29">#REF!</definedName>
    <definedName name="______obl1831" localSheetId="27">#REF!</definedName>
    <definedName name="______obl1831" localSheetId="28">#REF!</definedName>
    <definedName name="______obl1831" localSheetId="12">#REF!</definedName>
    <definedName name="______obl1831" localSheetId="14">#REF!</definedName>
    <definedName name="______obl1831" localSheetId="19">#REF!</definedName>
    <definedName name="______obl1831" localSheetId="30">#REF!</definedName>
    <definedName name="______obl1831" localSheetId="31">#REF!</definedName>
    <definedName name="______obl1831" localSheetId="32">#REF!</definedName>
    <definedName name="______obl1831" localSheetId="39">#REF!</definedName>
    <definedName name="______obl1831">#REF!</definedName>
    <definedName name="______obl1832" localSheetId="11">#REF!</definedName>
    <definedName name="______obl1832" localSheetId="23">#REF!</definedName>
    <definedName name="______obl1832" localSheetId="24">#REF!</definedName>
    <definedName name="______obl1832" localSheetId="22">#REF!</definedName>
    <definedName name="______obl1832" localSheetId="25">#REF!</definedName>
    <definedName name="______obl1832" localSheetId="29">#REF!</definedName>
    <definedName name="______obl1832" localSheetId="27">#REF!</definedName>
    <definedName name="______obl1832" localSheetId="28">#REF!</definedName>
    <definedName name="______obl1832" localSheetId="12">#REF!</definedName>
    <definedName name="______obl1832" localSheetId="14">#REF!</definedName>
    <definedName name="______obl1832" localSheetId="19">#REF!</definedName>
    <definedName name="______obl1832" localSheetId="30">#REF!</definedName>
    <definedName name="______obl1832" localSheetId="31">#REF!</definedName>
    <definedName name="______obl1832" localSheetId="32">#REF!</definedName>
    <definedName name="______obl1832" localSheetId="39">#REF!</definedName>
    <definedName name="______obl1832">#REF!</definedName>
    <definedName name="______obl184" localSheetId="11">#REF!</definedName>
    <definedName name="______obl184" localSheetId="23">#REF!</definedName>
    <definedName name="______obl184" localSheetId="24">#REF!</definedName>
    <definedName name="______obl184" localSheetId="22">#REF!</definedName>
    <definedName name="______obl184" localSheetId="25">#REF!</definedName>
    <definedName name="______obl184" localSheetId="29">#REF!</definedName>
    <definedName name="______obl184" localSheetId="27">#REF!</definedName>
    <definedName name="______obl184" localSheetId="28">#REF!</definedName>
    <definedName name="______obl184" localSheetId="12">#REF!</definedName>
    <definedName name="______obl184" localSheetId="14">#REF!</definedName>
    <definedName name="______obl184" localSheetId="19">#REF!</definedName>
    <definedName name="______obl184" localSheetId="30">#REF!</definedName>
    <definedName name="______obl184" localSheetId="31">#REF!</definedName>
    <definedName name="______obl184" localSheetId="32">#REF!</definedName>
    <definedName name="______obl184" localSheetId="39">#REF!</definedName>
    <definedName name="______obl184">#REF!</definedName>
    <definedName name="______obl185" localSheetId="11">#REF!</definedName>
    <definedName name="______obl185" localSheetId="23">#REF!</definedName>
    <definedName name="______obl185" localSheetId="24">#REF!</definedName>
    <definedName name="______obl185" localSheetId="22">#REF!</definedName>
    <definedName name="______obl185" localSheetId="25">#REF!</definedName>
    <definedName name="______obl185" localSheetId="29">#REF!</definedName>
    <definedName name="______obl185" localSheetId="27">#REF!</definedName>
    <definedName name="______obl185" localSheetId="28">#REF!</definedName>
    <definedName name="______obl185" localSheetId="12">#REF!</definedName>
    <definedName name="______obl185" localSheetId="14">#REF!</definedName>
    <definedName name="______obl185" localSheetId="19">#REF!</definedName>
    <definedName name="______obl185" localSheetId="30">#REF!</definedName>
    <definedName name="______obl185" localSheetId="31">#REF!</definedName>
    <definedName name="______obl185" localSheetId="32">#REF!</definedName>
    <definedName name="______obl185" localSheetId="39">#REF!</definedName>
    <definedName name="______obl185">#REF!</definedName>
    <definedName name="______obl186" localSheetId="11">#REF!</definedName>
    <definedName name="______obl186" localSheetId="23">#REF!</definedName>
    <definedName name="______obl186" localSheetId="24">#REF!</definedName>
    <definedName name="______obl186" localSheetId="22">#REF!</definedName>
    <definedName name="______obl186" localSheetId="25">#REF!</definedName>
    <definedName name="______obl186" localSheetId="29">#REF!</definedName>
    <definedName name="______obl186" localSheetId="27">#REF!</definedName>
    <definedName name="______obl186" localSheetId="28">#REF!</definedName>
    <definedName name="______obl186" localSheetId="12">#REF!</definedName>
    <definedName name="______obl186" localSheetId="14">#REF!</definedName>
    <definedName name="______obl186" localSheetId="19">#REF!</definedName>
    <definedName name="______obl186" localSheetId="30">#REF!</definedName>
    <definedName name="______obl186" localSheetId="31">#REF!</definedName>
    <definedName name="______obl186" localSheetId="32">#REF!</definedName>
    <definedName name="______obl186" localSheetId="39">#REF!</definedName>
    <definedName name="______obl186">#REF!</definedName>
    <definedName name="______obl187" localSheetId="11">#REF!</definedName>
    <definedName name="______obl187" localSheetId="23">#REF!</definedName>
    <definedName name="______obl187" localSheetId="24">#REF!</definedName>
    <definedName name="______obl187" localSheetId="22">#REF!</definedName>
    <definedName name="______obl187" localSheetId="25">#REF!</definedName>
    <definedName name="______obl187" localSheetId="29">#REF!</definedName>
    <definedName name="______obl187" localSheetId="27">#REF!</definedName>
    <definedName name="______obl187" localSheetId="28">#REF!</definedName>
    <definedName name="______obl187" localSheetId="12">#REF!</definedName>
    <definedName name="______obl187" localSheetId="14">#REF!</definedName>
    <definedName name="______obl187" localSheetId="19">#REF!</definedName>
    <definedName name="______obl187" localSheetId="30">#REF!</definedName>
    <definedName name="______obl187" localSheetId="31">#REF!</definedName>
    <definedName name="______obl187" localSheetId="32">#REF!</definedName>
    <definedName name="______obl187" localSheetId="39">#REF!</definedName>
    <definedName name="______obl187">#REF!</definedName>
    <definedName name="_____obl11" localSheetId="11">#REF!</definedName>
    <definedName name="_____obl11" localSheetId="25">#REF!</definedName>
    <definedName name="_____obl11" localSheetId="12">#REF!</definedName>
    <definedName name="_____obl11" localSheetId="14">#REF!</definedName>
    <definedName name="_____obl11" localSheetId="19">#REF!</definedName>
    <definedName name="_____obl11" localSheetId="30">#REF!</definedName>
    <definedName name="_____obl11" localSheetId="31">#REF!</definedName>
    <definedName name="_____obl11" localSheetId="32">#REF!</definedName>
    <definedName name="_____obl11">#REF!</definedName>
    <definedName name="_____obl12" localSheetId="11">#REF!</definedName>
    <definedName name="_____obl12" localSheetId="25">#REF!</definedName>
    <definedName name="_____obl12" localSheetId="12">#REF!</definedName>
    <definedName name="_____obl12" localSheetId="14">#REF!</definedName>
    <definedName name="_____obl12" localSheetId="19">#REF!</definedName>
    <definedName name="_____obl12" localSheetId="30">#REF!</definedName>
    <definedName name="_____obl12" localSheetId="31">#REF!</definedName>
    <definedName name="_____obl12" localSheetId="32">#REF!</definedName>
    <definedName name="_____obl12">#REF!</definedName>
    <definedName name="_____obl13" localSheetId="11">#REF!</definedName>
    <definedName name="_____obl13" localSheetId="25">#REF!</definedName>
    <definedName name="_____obl13" localSheetId="12">#REF!</definedName>
    <definedName name="_____obl13" localSheetId="14">#REF!</definedName>
    <definedName name="_____obl13" localSheetId="19">#REF!</definedName>
    <definedName name="_____obl13" localSheetId="30">#REF!</definedName>
    <definedName name="_____obl13" localSheetId="31">#REF!</definedName>
    <definedName name="_____obl13" localSheetId="32">#REF!</definedName>
    <definedName name="_____obl13">#REF!</definedName>
    <definedName name="_____obl14" localSheetId="11">#REF!</definedName>
    <definedName name="_____obl14" localSheetId="25">#REF!</definedName>
    <definedName name="_____obl14" localSheetId="12">#REF!</definedName>
    <definedName name="_____obl14" localSheetId="14">#REF!</definedName>
    <definedName name="_____obl14" localSheetId="19">#REF!</definedName>
    <definedName name="_____obl14" localSheetId="30">#REF!</definedName>
    <definedName name="_____obl14" localSheetId="31">#REF!</definedName>
    <definedName name="_____obl14" localSheetId="32">#REF!</definedName>
    <definedName name="_____obl14">#REF!</definedName>
    <definedName name="_____obl15" localSheetId="11">#REF!</definedName>
    <definedName name="_____obl15" localSheetId="25">#REF!</definedName>
    <definedName name="_____obl15" localSheetId="12">#REF!</definedName>
    <definedName name="_____obl15" localSheetId="14">#REF!</definedName>
    <definedName name="_____obl15" localSheetId="19">#REF!</definedName>
    <definedName name="_____obl15" localSheetId="30">#REF!</definedName>
    <definedName name="_____obl15" localSheetId="31">#REF!</definedName>
    <definedName name="_____obl15" localSheetId="32">#REF!</definedName>
    <definedName name="_____obl15">#REF!</definedName>
    <definedName name="_____obl16" localSheetId="11">#REF!</definedName>
    <definedName name="_____obl16" localSheetId="25">#REF!</definedName>
    <definedName name="_____obl16" localSheetId="12">#REF!</definedName>
    <definedName name="_____obl16" localSheetId="14">#REF!</definedName>
    <definedName name="_____obl16" localSheetId="19">#REF!</definedName>
    <definedName name="_____obl16" localSheetId="30">#REF!</definedName>
    <definedName name="_____obl16" localSheetId="31">#REF!</definedName>
    <definedName name="_____obl16" localSheetId="32">#REF!</definedName>
    <definedName name="_____obl16">#REF!</definedName>
    <definedName name="_____obl17" localSheetId="11">#REF!</definedName>
    <definedName name="_____obl17" localSheetId="25">#REF!</definedName>
    <definedName name="_____obl17" localSheetId="12">#REF!</definedName>
    <definedName name="_____obl17" localSheetId="14">#REF!</definedName>
    <definedName name="_____obl17" localSheetId="19">#REF!</definedName>
    <definedName name="_____obl17" localSheetId="30">#REF!</definedName>
    <definedName name="_____obl17" localSheetId="31">#REF!</definedName>
    <definedName name="_____obl17" localSheetId="32">#REF!</definedName>
    <definedName name="_____obl17">#REF!</definedName>
    <definedName name="_____obl1710" localSheetId="11">#REF!</definedName>
    <definedName name="_____obl1710" localSheetId="25">#REF!</definedName>
    <definedName name="_____obl1710" localSheetId="12">#REF!</definedName>
    <definedName name="_____obl1710" localSheetId="14">#REF!</definedName>
    <definedName name="_____obl1710" localSheetId="19">#REF!</definedName>
    <definedName name="_____obl1710" localSheetId="30">#REF!</definedName>
    <definedName name="_____obl1710" localSheetId="31">#REF!</definedName>
    <definedName name="_____obl1710" localSheetId="32">#REF!</definedName>
    <definedName name="_____obl1710">#REF!</definedName>
    <definedName name="_____obl1711" localSheetId="11">#REF!</definedName>
    <definedName name="_____obl1711" localSheetId="25">#REF!</definedName>
    <definedName name="_____obl1711" localSheetId="12">#REF!</definedName>
    <definedName name="_____obl1711" localSheetId="14">#REF!</definedName>
    <definedName name="_____obl1711" localSheetId="19">#REF!</definedName>
    <definedName name="_____obl1711" localSheetId="30">#REF!</definedName>
    <definedName name="_____obl1711" localSheetId="31">#REF!</definedName>
    <definedName name="_____obl1711" localSheetId="32">#REF!</definedName>
    <definedName name="_____obl1711">#REF!</definedName>
    <definedName name="_____obl1712" localSheetId="11">#REF!</definedName>
    <definedName name="_____obl1712" localSheetId="25">#REF!</definedName>
    <definedName name="_____obl1712" localSheetId="12">#REF!</definedName>
    <definedName name="_____obl1712" localSheetId="14">#REF!</definedName>
    <definedName name="_____obl1712" localSheetId="19">#REF!</definedName>
    <definedName name="_____obl1712" localSheetId="30">#REF!</definedName>
    <definedName name="_____obl1712" localSheetId="31">#REF!</definedName>
    <definedName name="_____obl1712" localSheetId="32">#REF!</definedName>
    <definedName name="_____obl1712">#REF!</definedName>
    <definedName name="_____obl1713" localSheetId="11">#REF!</definedName>
    <definedName name="_____obl1713" localSheetId="25">#REF!</definedName>
    <definedName name="_____obl1713" localSheetId="12">#REF!</definedName>
    <definedName name="_____obl1713" localSheetId="14">#REF!</definedName>
    <definedName name="_____obl1713" localSheetId="19">#REF!</definedName>
    <definedName name="_____obl1713" localSheetId="30">#REF!</definedName>
    <definedName name="_____obl1713" localSheetId="31">#REF!</definedName>
    <definedName name="_____obl1713" localSheetId="32">#REF!</definedName>
    <definedName name="_____obl1713">#REF!</definedName>
    <definedName name="_____obl1714" localSheetId="11">#REF!</definedName>
    <definedName name="_____obl1714" localSheetId="25">#REF!</definedName>
    <definedName name="_____obl1714" localSheetId="12">#REF!</definedName>
    <definedName name="_____obl1714" localSheetId="14">#REF!</definedName>
    <definedName name="_____obl1714" localSheetId="19">#REF!</definedName>
    <definedName name="_____obl1714" localSheetId="30">#REF!</definedName>
    <definedName name="_____obl1714" localSheetId="31">#REF!</definedName>
    <definedName name="_____obl1714" localSheetId="32">#REF!</definedName>
    <definedName name="_____obl1714">#REF!</definedName>
    <definedName name="_____obl1715" localSheetId="11">#REF!</definedName>
    <definedName name="_____obl1715" localSheetId="25">#REF!</definedName>
    <definedName name="_____obl1715" localSheetId="12">#REF!</definedName>
    <definedName name="_____obl1715" localSheetId="14">#REF!</definedName>
    <definedName name="_____obl1715" localSheetId="19">#REF!</definedName>
    <definedName name="_____obl1715" localSheetId="30">#REF!</definedName>
    <definedName name="_____obl1715" localSheetId="31">#REF!</definedName>
    <definedName name="_____obl1715" localSheetId="32">#REF!</definedName>
    <definedName name="_____obl1715">#REF!</definedName>
    <definedName name="_____obl1716" localSheetId="11">#REF!</definedName>
    <definedName name="_____obl1716" localSheetId="25">#REF!</definedName>
    <definedName name="_____obl1716" localSheetId="12">#REF!</definedName>
    <definedName name="_____obl1716" localSheetId="14">#REF!</definedName>
    <definedName name="_____obl1716" localSheetId="19">#REF!</definedName>
    <definedName name="_____obl1716" localSheetId="30">#REF!</definedName>
    <definedName name="_____obl1716" localSheetId="31">#REF!</definedName>
    <definedName name="_____obl1716" localSheetId="32">#REF!</definedName>
    <definedName name="_____obl1716">#REF!</definedName>
    <definedName name="_____obl1717" localSheetId="11">#REF!</definedName>
    <definedName name="_____obl1717" localSheetId="25">#REF!</definedName>
    <definedName name="_____obl1717" localSheetId="12">#REF!</definedName>
    <definedName name="_____obl1717" localSheetId="14">#REF!</definedName>
    <definedName name="_____obl1717" localSheetId="19">#REF!</definedName>
    <definedName name="_____obl1717" localSheetId="30">#REF!</definedName>
    <definedName name="_____obl1717" localSheetId="31">#REF!</definedName>
    <definedName name="_____obl1717" localSheetId="32">#REF!</definedName>
    <definedName name="_____obl1717">#REF!</definedName>
    <definedName name="_____obl1718" localSheetId="11">#REF!</definedName>
    <definedName name="_____obl1718" localSheetId="25">#REF!</definedName>
    <definedName name="_____obl1718" localSheetId="12">#REF!</definedName>
    <definedName name="_____obl1718" localSheetId="14">#REF!</definedName>
    <definedName name="_____obl1718" localSheetId="19">#REF!</definedName>
    <definedName name="_____obl1718" localSheetId="30">#REF!</definedName>
    <definedName name="_____obl1718" localSheetId="31">#REF!</definedName>
    <definedName name="_____obl1718" localSheetId="32">#REF!</definedName>
    <definedName name="_____obl1718">#REF!</definedName>
    <definedName name="_____obl1719" localSheetId="11">#REF!</definedName>
    <definedName name="_____obl1719" localSheetId="25">#REF!</definedName>
    <definedName name="_____obl1719" localSheetId="12">#REF!</definedName>
    <definedName name="_____obl1719" localSheetId="14">#REF!</definedName>
    <definedName name="_____obl1719" localSheetId="19">#REF!</definedName>
    <definedName name="_____obl1719" localSheetId="30">#REF!</definedName>
    <definedName name="_____obl1719" localSheetId="31">#REF!</definedName>
    <definedName name="_____obl1719" localSheetId="32">#REF!</definedName>
    <definedName name="_____obl1719">#REF!</definedName>
    <definedName name="_____obl173" localSheetId="11">#REF!</definedName>
    <definedName name="_____obl173" localSheetId="25">#REF!</definedName>
    <definedName name="_____obl173" localSheetId="12">#REF!</definedName>
    <definedName name="_____obl173" localSheetId="14">#REF!</definedName>
    <definedName name="_____obl173" localSheetId="19">#REF!</definedName>
    <definedName name="_____obl173" localSheetId="30">#REF!</definedName>
    <definedName name="_____obl173" localSheetId="31">#REF!</definedName>
    <definedName name="_____obl173" localSheetId="32">#REF!</definedName>
    <definedName name="_____obl173">#REF!</definedName>
    <definedName name="_____obl174" localSheetId="11">#REF!</definedName>
    <definedName name="_____obl174" localSheetId="25">#REF!</definedName>
    <definedName name="_____obl174" localSheetId="12">#REF!</definedName>
    <definedName name="_____obl174" localSheetId="14">#REF!</definedName>
    <definedName name="_____obl174" localSheetId="19">#REF!</definedName>
    <definedName name="_____obl174" localSheetId="30">#REF!</definedName>
    <definedName name="_____obl174" localSheetId="31">#REF!</definedName>
    <definedName name="_____obl174" localSheetId="32">#REF!</definedName>
    <definedName name="_____obl174">#REF!</definedName>
    <definedName name="_____obl175" localSheetId="11">#REF!</definedName>
    <definedName name="_____obl175" localSheetId="25">#REF!</definedName>
    <definedName name="_____obl175" localSheetId="12">#REF!</definedName>
    <definedName name="_____obl175" localSheetId="14">#REF!</definedName>
    <definedName name="_____obl175" localSheetId="19">#REF!</definedName>
    <definedName name="_____obl175" localSheetId="30">#REF!</definedName>
    <definedName name="_____obl175" localSheetId="31">#REF!</definedName>
    <definedName name="_____obl175" localSheetId="32">#REF!</definedName>
    <definedName name="_____obl175">#REF!</definedName>
    <definedName name="_____obl176" localSheetId="11">#REF!</definedName>
    <definedName name="_____obl176" localSheetId="25">#REF!</definedName>
    <definedName name="_____obl176" localSheetId="12">#REF!</definedName>
    <definedName name="_____obl176" localSheetId="14">#REF!</definedName>
    <definedName name="_____obl176" localSheetId="19">#REF!</definedName>
    <definedName name="_____obl176" localSheetId="30">#REF!</definedName>
    <definedName name="_____obl176" localSheetId="31">#REF!</definedName>
    <definedName name="_____obl176" localSheetId="32">#REF!</definedName>
    <definedName name="_____obl176">#REF!</definedName>
    <definedName name="_____obl177" localSheetId="11">#REF!</definedName>
    <definedName name="_____obl177" localSheetId="25">#REF!</definedName>
    <definedName name="_____obl177" localSheetId="12">#REF!</definedName>
    <definedName name="_____obl177" localSheetId="14">#REF!</definedName>
    <definedName name="_____obl177" localSheetId="19">#REF!</definedName>
    <definedName name="_____obl177" localSheetId="30">#REF!</definedName>
    <definedName name="_____obl177" localSheetId="31">#REF!</definedName>
    <definedName name="_____obl177" localSheetId="32">#REF!</definedName>
    <definedName name="_____obl177">#REF!</definedName>
    <definedName name="_____obl178" localSheetId="11">#REF!</definedName>
    <definedName name="_____obl178" localSheetId="25">#REF!</definedName>
    <definedName name="_____obl178" localSheetId="12">#REF!</definedName>
    <definedName name="_____obl178" localSheetId="14">#REF!</definedName>
    <definedName name="_____obl178" localSheetId="19">#REF!</definedName>
    <definedName name="_____obl178" localSheetId="30">#REF!</definedName>
    <definedName name="_____obl178" localSheetId="31">#REF!</definedName>
    <definedName name="_____obl178" localSheetId="32">#REF!</definedName>
    <definedName name="_____obl178">#REF!</definedName>
    <definedName name="_____obl179" localSheetId="11">#REF!</definedName>
    <definedName name="_____obl179" localSheetId="25">#REF!</definedName>
    <definedName name="_____obl179" localSheetId="12">#REF!</definedName>
    <definedName name="_____obl179" localSheetId="14">#REF!</definedName>
    <definedName name="_____obl179" localSheetId="19">#REF!</definedName>
    <definedName name="_____obl179" localSheetId="30">#REF!</definedName>
    <definedName name="_____obl179" localSheetId="31">#REF!</definedName>
    <definedName name="_____obl179" localSheetId="32">#REF!</definedName>
    <definedName name="_____obl179">#REF!</definedName>
    <definedName name="_____obl18" localSheetId="11">#REF!</definedName>
    <definedName name="_____obl18" localSheetId="25">#REF!</definedName>
    <definedName name="_____obl18" localSheetId="12">#REF!</definedName>
    <definedName name="_____obl18" localSheetId="14">#REF!</definedName>
    <definedName name="_____obl18" localSheetId="19">#REF!</definedName>
    <definedName name="_____obl18" localSheetId="30">#REF!</definedName>
    <definedName name="_____obl18" localSheetId="31">#REF!</definedName>
    <definedName name="_____obl18" localSheetId="32">#REF!</definedName>
    <definedName name="_____obl18">#REF!</definedName>
    <definedName name="_____obl181" localSheetId="11">#REF!</definedName>
    <definedName name="_____obl181" localSheetId="25">#REF!</definedName>
    <definedName name="_____obl181" localSheetId="12">#REF!</definedName>
    <definedName name="_____obl181" localSheetId="14">#REF!</definedName>
    <definedName name="_____obl181" localSheetId="19">#REF!</definedName>
    <definedName name="_____obl181" localSheetId="30">#REF!</definedName>
    <definedName name="_____obl181" localSheetId="31">#REF!</definedName>
    <definedName name="_____obl181" localSheetId="32">#REF!</definedName>
    <definedName name="_____obl181">#REF!</definedName>
    <definedName name="_____obl1816" localSheetId="11">#REF!</definedName>
    <definedName name="_____obl1816" localSheetId="25">#REF!</definedName>
    <definedName name="_____obl1816" localSheetId="12">#REF!</definedName>
    <definedName name="_____obl1816" localSheetId="14">#REF!</definedName>
    <definedName name="_____obl1816" localSheetId="19">#REF!</definedName>
    <definedName name="_____obl1816" localSheetId="30">#REF!</definedName>
    <definedName name="_____obl1816" localSheetId="31">#REF!</definedName>
    <definedName name="_____obl1816" localSheetId="32">#REF!</definedName>
    <definedName name="_____obl1816">#REF!</definedName>
    <definedName name="_____obl1820" localSheetId="11">#REF!</definedName>
    <definedName name="_____obl1820" localSheetId="25">#REF!</definedName>
    <definedName name="_____obl1820" localSheetId="12">#REF!</definedName>
    <definedName name="_____obl1820" localSheetId="14">#REF!</definedName>
    <definedName name="_____obl1820" localSheetId="19">#REF!</definedName>
    <definedName name="_____obl1820" localSheetId="30">#REF!</definedName>
    <definedName name="_____obl1820" localSheetId="31">#REF!</definedName>
    <definedName name="_____obl1820" localSheetId="32">#REF!</definedName>
    <definedName name="_____obl1820">#REF!</definedName>
    <definedName name="_____obl1821" localSheetId="11">#REF!</definedName>
    <definedName name="_____obl1821" localSheetId="25">#REF!</definedName>
    <definedName name="_____obl1821" localSheetId="12">#REF!</definedName>
    <definedName name="_____obl1821" localSheetId="14">#REF!</definedName>
    <definedName name="_____obl1821" localSheetId="19">#REF!</definedName>
    <definedName name="_____obl1821" localSheetId="30">#REF!</definedName>
    <definedName name="_____obl1821" localSheetId="31">#REF!</definedName>
    <definedName name="_____obl1821" localSheetId="32">#REF!</definedName>
    <definedName name="_____obl1821">#REF!</definedName>
    <definedName name="_____obl1822" localSheetId="11">#REF!</definedName>
    <definedName name="_____obl1822" localSheetId="25">#REF!</definedName>
    <definedName name="_____obl1822" localSheetId="12">#REF!</definedName>
    <definedName name="_____obl1822" localSheetId="14">#REF!</definedName>
    <definedName name="_____obl1822" localSheetId="19">#REF!</definedName>
    <definedName name="_____obl1822" localSheetId="30">#REF!</definedName>
    <definedName name="_____obl1822" localSheetId="31">#REF!</definedName>
    <definedName name="_____obl1822" localSheetId="32">#REF!</definedName>
    <definedName name="_____obl1822">#REF!</definedName>
    <definedName name="_____obl1823" localSheetId="11">#REF!</definedName>
    <definedName name="_____obl1823" localSheetId="25">#REF!</definedName>
    <definedName name="_____obl1823" localSheetId="12">#REF!</definedName>
    <definedName name="_____obl1823" localSheetId="14">#REF!</definedName>
    <definedName name="_____obl1823" localSheetId="19">#REF!</definedName>
    <definedName name="_____obl1823" localSheetId="30">#REF!</definedName>
    <definedName name="_____obl1823" localSheetId="31">#REF!</definedName>
    <definedName name="_____obl1823" localSheetId="32">#REF!</definedName>
    <definedName name="_____obl1823">#REF!</definedName>
    <definedName name="_____obl1824" localSheetId="11">#REF!</definedName>
    <definedName name="_____obl1824" localSheetId="25">#REF!</definedName>
    <definedName name="_____obl1824" localSheetId="12">#REF!</definedName>
    <definedName name="_____obl1824" localSheetId="14">#REF!</definedName>
    <definedName name="_____obl1824" localSheetId="19">#REF!</definedName>
    <definedName name="_____obl1824" localSheetId="30">#REF!</definedName>
    <definedName name="_____obl1824" localSheetId="31">#REF!</definedName>
    <definedName name="_____obl1824" localSheetId="32">#REF!</definedName>
    <definedName name="_____obl1824">#REF!</definedName>
    <definedName name="_____obl1825" localSheetId="11">#REF!</definedName>
    <definedName name="_____obl1825" localSheetId="25">#REF!</definedName>
    <definedName name="_____obl1825" localSheetId="12">#REF!</definedName>
    <definedName name="_____obl1825" localSheetId="14">#REF!</definedName>
    <definedName name="_____obl1825" localSheetId="19">#REF!</definedName>
    <definedName name="_____obl1825" localSheetId="30">#REF!</definedName>
    <definedName name="_____obl1825" localSheetId="31">#REF!</definedName>
    <definedName name="_____obl1825" localSheetId="32">#REF!</definedName>
    <definedName name="_____obl1825">#REF!</definedName>
    <definedName name="_____obl1826" localSheetId="11">#REF!</definedName>
    <definedName name="_____obl1826" localSheetId="25">#REF!</definedName>
    <definedName name="_____obl1826" localSheetId="12">#REF!</definedName>
    <definedName name="_____obl1826" localSheetId="14">#REF!</definedName>
    <definedName name="_____obl1826" localSheetId="19">#REF!</definedName>
    <definedName name="_____obl1826" localSheetId="30">#REF!</definedName>
    <definedName name="_____obl1826" localSheetId="31">#REF!</definedName>
    <definedName name="_____obl1826" localSheetId="32">#REF!</definedName>
    <definedName name="_____obl1826">#REF!</definedName>
    <definedName name="_____obl1827" localSheetId="11">#REF!</definedName>
    <definedName name="_____obl1827" localSheetId="25">#REF!</definedName>
    <definedName name="_____obl1827" localSheetId="12">#REF!</definedName>
    <definedName name="_____obl1827" localSheetId="14">#REF!</definedName>
    <definedName name="_____obl1827" localSheetId="19">#REF!</definedName>
    <definedName name="_____obl1827" localSheetId="30">#REF!</definedName>
    <definedName name="_____obl1827" localSheetId="31">#REF!</definedName>
    <definedName name="_____obl1827" localSheetId="32">#REF!</definedName>
    <definedName name="_____obl1827">#REF!</definedName>
    <definedName name="_____obl1828" localSheetId="11">#REF!</definedName>
    <definedName name="_____obl1828" localSheetId="25">#REF!</definedName>
    <definedName name="_____obl1828" localSheetId="12">#REF!</definedName>
    <definedName name="_____obl1828" localSheetId="14">#REF!</definedName>
    <definedName name="_____obl1828" localSheetId="19">#REF!</definedName>
    <definedName name="_____obl1828" localSheetId="30">#REF!</definedName>
    <definedName name="_____obl1828" localSheetId="31">#REF!</definedName>
    <definedName name="_____obl1828" localSheetId="32">#REF!</definedName>
    <definedName name="_____obl1828">#REF!</definedName>
    <definedName name="_____obl1829" localSheetId="11">#REF!</definedName>
    <definedName name="_____obl1829" localSheetId="25">#REF!</definedName>
    <definedName name="_____obl1829" localSheetId="12">#REF!</definedName>
    <definedName name="_____obl1829" localSheetId="14">#REF!</definedName>
    <definedName name="_____obl1829" localSheetId="19">#REF!</definedName>
    <definedName name="_____obl1829" localSheetId="30">#REF!</definedName>
    <definedName name="_____obl1829" localSheetId="31">#REF!</definedName>
    <definedName name="_____obl1829" localSheetId="32">#REF!</definedName>
    <definedName name="_____obl1829">#REF!</definedName>
    <definedName name="_____obl183" localSheetId="11">#REF!</definedName>
    <definedName name="_____obl183" localSheetId="25">#REF!</definedName>
    <definedName name="_____obl183" localSheetId="12">#REF!</definedName>
    <definedName name="_____obl183" localSheetId="14">#REF!</definedName>
    <definedName name="_____obl183" localSheetId="19">#REF!</definedName>
    <definedName name="_____obl183" localSheetId="30">#REF!</definedName>
    <definedName name="_____obl183" localSheetId="31">#REF!</definedName>
    <definedName name="_____obl183" localSheetId="32">#REF!</definedName>
    <definedName name="_____obl183">#REF!</definedName>
    <definedName name="_____obl1831" localSheetId="11">#REF!</definedName>
    <definedName name="_____obl1831" localSheetId="25">#REF!</definedName>
    <definedName name="_____obl1831" localSheetId="12">#REF!</definedName>
    <definedName name="_____obl1831" localSheetId="14">#REF!</definedName>
    <definedName name="_____obl1831" localSheetId="19">#REF!</definedName>
    <definedName name="_____obl1831" localSheetId="30">#REF!</definedName>
    <definedName name="_____obl1831" localSheetId="31">#REF!</definedName>
    <definedName name="_____obl1831" localSheetId="32">#REF!</definedName>
    <definedName name="_____obl1831">#REF!</definedName>
    <definedName name="_____obl1832" localSheetId="11">#REF!</definedName>
    <definedName name="_____obl1832" localSheetId="25">#REF!</definedName>
    <definedName name="_____obl1832" localSheetId="12">#REF!</definedName>
    <definedName name="_____obl1832" localSheetId="14">#REF!</definedName>
    <definedName name="_____obl1832" localSheetId="19">#REF!</definedName>
    <definedName name="_____obl1832" localSheetId="30">#REF!</definedName>
    <definedName name="_____obl1832" localSheetId="31">#REF!</definedName>
    <definedName name="_____obl1832" localSheetId="32">#REF!</definedName>
    <definedName name="_____obl1832">#REF!</definedName>
    <definedName name="_____obl184" localSheetId="11">#REF!</definedName>
    <definedName name="_____obl184" localSheetId="25">#REF!</definedName>
    <definedName name="_____obl184" localSheetId="12">#REF!</definedName>
    <definedName name="_____obl184" localSheetId="14">#REF!</definedName>
    <definedName name="_____obl184" localSheetId="19">#REF!</definedName>
    <definedName name="_____obl184" localSheetId="30">#REF!</definedName>
    <definedName name="_____obl184" localSheetId="31">#REF!</definedName>
    <definedName name="_____obl184" localSheetId="32">#REF!</definedName>
    <definedName name="_____obl184">#REF!</definedName>
    <definedName name="_____obl185" localSheetId="11">#REF!</definedName>
    <definedName name="_____obl185" localSheetId="25">#REF!</definedName>
    <definedName name="_____obl185" localSheetId="12">#REF!</definedName>
    <definedName name="_____obl185" localSheetId="14">#REF!</definedName>
    <definedName name="_____obl185" localSheetId="19">#REF!</definedName>
    <definedName name="_____obl185" localSheetId="30">#REF!</definedName>
    <definedName name="_____obl185" localSheetId="31">#REF!</definedName>
    <definedName name="_____obl185" localSheetId="32">#REF!</definedName>
    <definedName name="_____obl185">#REF!</definedName>
    <definedName name="_____obl186" localSheetId="11">#REF!</definedName>
    <definedName name="_____obl186" localSheetId="25">#REF!</definedName>
    <definedName name="_____obl186" localSheetId="12">#REF!</definedName>
    <definedName name="_____obl186" localSheetId="14">#REF!</definedName>
    <definedName name="_____obl186" localSheetId="19">#REF!</definedName>
    <definedName name="_____obl186" localSheetId="30">#REF!</definedName>
    <definedName name="_____obl186" localSheetId="31">#REF!</definedName>
    <definedName name="_____obl186" localSheetId="32">#REF!</definedName>
    <definedName name="_____obl186">#REF!</definedName>
    <definedName name="_____obl187" localSheetId="11">#REF!</definedName>
    <definedName name="_____obl187" localSheetId="25">#REF!</definedName>
    <definedName name="_____obl187" localSheetId="12">#REF!</definedName>
    <definedName name="_____obl187" localSheetId="14">#REF!</definedName>
    <definedName name="_____obl187" localSheetId="19">#REF!</definedName>
    <definedName name="_____obl187" localSheetId="30">#REF!</definedName>
    <definedName name="_____obl187" localSheetId="31">#REF!</definedName>
    <definedName name="_____obl187" localSheetId="32">#REF!</definedName>
    <definedName name="_____obl187">#REF!</definedName>
    <definedName name="____obl11" localSheetId="11">#REF!</definedName>
    <definedName name="____obl11" localSheetId="23">#REF!</definedName>
    <definedName name="____obl11" localSheetId="24">#REF!</definedName>
    <definedName name="____obl11" localSheetId="22">#REF!</definedName>
    <definedName name="____obl11" localSheetId="25">#REF!</definedName>
    <definedName name="____obl11" localSheetId="29">#REF!</definedName>
    <definedName name="____obl11" localSheetId="27">#REF!</definedName>
    <definedName name="____obl11" localSheetId="28">#REF!</definedName>
    <definedName name="____obl11" localSheetId="12">#REF!</definedName>
    <definedName name="____obl11" localSheetId="14">#REF!</definedName>
    <definedName name="____obl11" localSheetId="19">#REF!</definedName>
    <definedName name="____obl11" localSheetId="30">#REF!</definedName>
    <definedName name="____obl11" localSheetId="31">#REF!</definedName>
    <definedName name="____obl11" localSheetId="32">#REF!</definedName>
    <definedName name="____obl11" localSheetId="39">#REF!</definedName>
    <definedName name="____obl11" localSheetId="40">#REF!</definedName>
    <definedName name="____obl11" localSheetId="41">#REF!</definedName>
    <definedName name="____obl11" localSheetId="42">#REF!</definedName>
    <definedName name="____obl11" localSheetId="43">#REF!</definedName>
    <definedName name="____obl11">#REF!</definedName>
    <definedName name="____obl12" localSheetId="11">#REF!</definedName>
    <definedName name="____obl12" localSheetId="23">#REF!</definedName>
    <definedName name="____obl12" localSheetId="24">#REF!</definedName>
    <definedName name="____obl12" localSheetId="22">#REF!</definedName>
    <definedName name="____obl12" localSheetId="25">#REF!</definedName>
    <definedName name="____obl12" localSheetId="29">#REF!</definedName>
    <definedName name="____obl12" localSheetId="27">#REF!</definedName>
    <definedName name="____obl12" localSheetId="28">#REF!</definedName>
    <definedName name="____obl12" localSheetId="12">#REF!</definedName>
    <definedName name="____obl12" localSheetId="14">#REF!</definedName>
    <definedName name="____obl12" localSheetId="19">#REF!</definedName>
    <definedName name="____obl12" localSheetId="30">#REF!</definedName>
    <definedName name="____obl12" localSheetId="31">#REF!</definedName>
    <definedName name="____obl12" localSheetId="32">#REF!</definedName>
    <definedName name="____obl12" localSheetId="39">#REF!</definedName>
    <definedName name="____obl12" localSheetId="40">#REF!</definedName>
    <definedName name="____obl12" localSheetId="41">#REF!</definedName>
    <definedName name="____obl12" localSheetId="42">#REF!</definedName>
    <definedName name="____obl12" localSheetId="43">#REF!</definedName>
    <definedName name="____obl12">#REF!</definedName>
    <definedName name="____obl13" localSheetId="11">#REF!</definedName>
    <definedName name="____obl13" localSheetId="23">#REF!</definedName>
    <definedName name="____obl13" localSheetId="24">#REF!</definedName>
    <definedName name="____obl13" localSheetId="22">#REF!</definedName>
    <definedName name="____obl13" localSheetId="25">#REF!</definedName>
    <definedName name="____obl13" localSheetId="29">#REF!</definedName>
    <definedName name="____obl13" localSheetId="27">#REF!</definedName>
    <definedName name="____obl13" localSheetId="28">#REF!</definedName>
    <definedName name="____obl13" localSheetId="12">#REF!</definedName>
    <definedName name="____obl13" localSheetId="14">#REF!</definedName>
    <definedName name="____obl13" localSheetId="19">#REF!</definedName>
    <definedName name="____obl13" localSheetId="30">#REF!</definedName>
    <definedName name="____obl13" localSheetId="31">#REF!</definedName>
    <definedName name="____obl13" localSheetId="32">#REF!</definedName>
    <definedName name="____obl13" localSheetId="39">#REF!</definedName>
    <definedName name="____obl13" localSheetId="40">#REF!</definedName>
    <definedName name="____obl13" localSheetId="41">#REF!</definedName>
    <definedName name="____obl13" localSheetId="42">#REF!</definedName>
    <definedName name="____obl13" localSheetId="43">#REF!</definedName>
    <definedName name="____obl13">#REF!</definedName>
    <definedName name="____obl14" localSheetId="11">#REF!</definedName>
    <definedName name="____obl14" localSheetId="23">#REF!</definedName>
    <definedName name="____obl14" localSheetId="24">#REF!</definedName>
    <definedName name="____obl14" localSheetId="22">#REF!</definedName>
    <definedName name="____obl14" localSheetId="25">#REF!</definedName>
    <definedName name="____obl14" localSheetId="29">#REF!</definedName>
    <definedName name="____obl14" localSheetId="27">#REF!</definedName>
    <definedName name="____obl14" localSheetId="28">#REF!</definedName>
    <definedName name="____obl14" localSheetId="12">#REF!</definedName>
    <definedName name="____obl14" localSheetId="14">#REF!</definedName>
    <definedName name="____obl14" localSheetId="19">#REF!</definedName>
    <definedName name="____obl14" localSheetId="30">#REF!</definedName>
    <definedName name="____obl14" localSheetId="31">#REF!</definedName>
    <definedName name="____obl14" localSheetId="32">#REF!</definedName>
    <definedName name="____obl14" localSheetId="39">#REF!</definedName>
    <definedName name="____obl14" localSheetId="40">#REF!</definedName>
    <definedName name="____obl14" localSheetId="41">#REF!</definedName>
    <definedName name="____obl14" localSheetId="42">#REF!</definedName>
    <definedName name="____obl14">#REF!</definedName>
    <definedName name="____obl15" localSheetId="11">#REF!</definedName>
    <definedName name="____obl15" localSheetId="23">#REF!</definedName>
    <definedName name="____obl15" localSheetId="24">#REF!</definedName>
    <definedName name="____obl15" localSheetId="22">#REF!</definedName>
    <definedName name="____obl15" localSheetId="25">#REF!</definedName>
    <definedName name="____obl15" localSheetId="29">#REF!</definedName>
    <definedName name="____obl15" localSheetId="27">#REF!</definedName>
    <definedName name="____obl15" localSheetId="28">#REF!</definedName>
    <definedName name="____obl15" localSheetId="12">#REF!</definedName>
    <definedName name="____obl15" localSheetId="14">#REF!</definedName>
    <definedName name="____obl15" localSheetId="19">#REF!</definedName>
    <definedName name="____obl15" localSheetId="30">#REF!</definedName>
    <definedName name="____obl15" localSheetId="31">#REF!</definedName>
    <definedName name="____obl15" localSheetId="32">#REF!</definedName>
    <definedName name="____obl15" localSheetId="39">#REF!</definedName>
    <definedName name="____obl15" localSheetId="40">#REF!</definedName>
    <definedName name="____obl15" localSheetId="41">#REF!</definedName>
    <definedName name="____obl15" localSheetId="42">#REF!</definedName>
    <definedName name="____obl15">#REF!</definedName>
    <definedName name="____obl16" localSheetId="11">#REF!</definedName>
    <definedName name="____obl16" localSheetId="23">#REF!</definedName>
    <definedName name="____obl16" localSheetId="24">#REF!</definedName>
    <definedName name="____obl16" localSheetId="22">#REF!</definedName>
    <definedName name="____obl16" localSheetId="25">#REF!</definedName>
    <definedName name="____obl16" localSheetId="29">#REF!</definedName>
    <definedName name="____obl16" localSheetId="27">#REF!</definedName>
    <definedName name="____obl16" localSheetId="28">#REF!</definedName>
    <definedName name="____obl16" localSheetId="12">#REF!</definedName>
    <definedName name="____obl16" localSheetId="14">#REF!</definedName>
    <definedName name="____obl16" localSheetId="19">#REF!</definedName>
    <definedName name="____obl16" localSheetId="30">#REF!</definedName>
    <definedName name="____obl16" localSheetId="31">#REF!</definedName>
    <definedName name="____obl16" localSheetId="32">#REF!</definedName>
    <definedName name="____obl16" localSheetId="39">#REF!</definedName>
    <definedName name="____obl16" localSheetId="40">#REF!</definedName>
    <definedName name="____obl16" localSheetId="41">#REF!</definedName>
    <definedName name="____obl16" localSheetId="42">#REF!</definedName>
    <definedName name="____obl16">#REF!</definedName>
    <definedName name="____obl17" localSheetId="11">#REF!</definedName>
    <definedName name="____obl17" localSheetId="23">#REF!</definedName>
    <definedName name="____obl17" localSheetId="24">#REF!</definedName>
    <definedName name="____obl17" localSheetId="22">#REF!</definedName>
    <definedName name="____obl17" localSheetId="25">#REF!</definedName>
    <definedName name="____obl17" localSheetId="29">#REF!</definedName>
    <definedName name="____obl17" localSheetId="27">#REF!</definedName>
    <definedName name="____obl17" localSheetId="28">#REF!</definedName>
    <definedName name="____obl17" localSheetId="12">#REF!</definedName>
    <definedName name="____obl17" localSheetId="14">#REF!</definedName>
    <definedName name="____obl17" localSheetId="19">#REF!</definedName>
    <definedName name="____obl17" localSheetId="30">#REF!</definedName>
    <definedName name="____obl17" localSheetId="31">#REF!</definedName>
    <definedName name="____obl17" localSheetId="32">#REF!</definedName>
    <definedName name="____obl17" localSheetId="39">#REF!</definedName>
    <definedName name="____obl17" localSheetId="40">#REF!</definedName>
    <definedName name="____obl17" localSheetId="41">#REF!</definedName>
    <definedName name="____obl17" localSheetId="42">#REF!</definedName>
    <definedName name="____obl17">#REF!</definedName>
    <definedName name="____obl1710" localSheetId="11">#REF!</definedName>
    <definedName name="____obl1710" localSheetId="23">#REF!</definedName>
    <definedName name="____obl1710" localSheetId="24">#REF!</definedName>
    <definedName name="____obl1710" localSheetId="22">#REF!</definedName>
    <definedName name="____obl1710" localSheetId="25">#REF!</definedName>
    <definedName name="____obl1710" localSheetId="29">#REF!</definedName>
    <definedName name="____obl1710" localSheetId="27">#REF!</definedName>
    <definedName name="____obl1710" localSheetId="28">#REF!</definedName>
    <definedName name="____obl1710" localSheetId="12">#REF!</definedName>
    <definedName name="____obl1710" localSheetId="14">#REF!</definedName>
    <definedName name="____obl1710" localSheetId="19">#REF!</definedName>
    <definedName name="____obl1710" localSheetId="30">#REF!</definedName>
    <definedName name="____obl1710" localSheetId="31">#REF!</definedName>
    <definedName name="____obl1710" localSheetId="32">#REF!</definedName>
    <definedName name="____obl1710" localSheetId="39">#REF!</definedName>
    <definedName name="____obl1710" localSheetId="40">#REF!</definedName>
    <definedName name="____obl1710" localSheetId="41">#REF!</definedName>
    <definedName name="____obl1710" localSheetId="42">#REF!</definedName>
    <definedName name="____obl1710">#REF!</definedName>
    <definedName name="____obl1711" localSheetId="11">#REF!</definedName>
    <definedName name="____obl1711" localSheetId="23">#REF!</definedName>
    <definedName name="____obl1711" localSheetId="24">#REF!</definedName>
    <definedName name="____obl1711" localSheetId="22">#REF!</definedName>
    <definedName name="____obl1711" localSheetId="25">#REF!</definedName>
    <definedName name="____obl1711" localSheetId="29">#REF!</definedName>
    <definedName name="____obl1711" localSheetId="27">#REF!</definedName>
    <definedName name="____obl1711" localSheetId="28">#REF!</definedName>
    <definedName name="____obl1711" localSheetId="12">#REF!</definedName>
    <definedName name="____obl1711" localSheetId="14">#REF!</definedName>
    <definedName name="____obl1711" localSheetId="19">#REF!</definedName>
    <definedName name="____obl1711" localSheetId="30">#REF!</definedName>
    <definedName name="____obl1711" localSheetId="31">#REF!</definedName>
    <definedName name="____obl1711" localSheetId="32">#REF!</definedName>
    <definedName name="____obl1711" localSheetId="39">#REF!</definedName>
    <definedName name="____obl1711" localSheetId="40">#REF!</definedName>
    <definedName name="____obl1711" localSheetId="41">#REF!</definedName>
    <definedName name="____obl1711" localSheetId="42">#REF!</definedName>
    <definedName name="____obl1711">#REF!</definedName>
    <definedName name="____obl1712" localSheetId="11">#REF!</definedName>
    <definedName name="____obl1712" localSheetId="23">#REF!</definedName>
    <definedName name="____obl1712" localSheetId="24">#REF!</definedName>
    <definedName name="____obl1712" localSheetId="22">#REF!</definedName>
    <definedName name="____obl1712" localSheetId="25">#REF!</definedName>
    <definedName name="____obl1712" localSheetId="29">#REF!</definedName>
    <definedName name="____obl1712" localSheetId="27">#REF!</definedName>
    <definedName name="____obl1712" localSheetId="28">#REF!</definedName>
    <definedName name="____obl1712" localSheetId="12">#REF!</definedName>
    <definedName name="____obl1712" localSheetId="14">#REF!</definedName>
    <definedName name="____obl1712" localSheetId="19">#REF!</definedName>
    <definedName name="____obl1712" localSheetId="30">#REF!</definedName>
    <definedName name="____obl1712" localSheetId="31">#REF!</definedName>
    <definedName name="____obl1712" localSheetId="32">#REF!</definedName>
    <definedName name="____obl1712" localSheetId="39">#REF!</definedName>
    <definedName name="____obl1712" localSheetId="40">#REF!</definedName>
    <definedName name="____obl1712" localSheetId="41">#REF!</definedName>
    <definedName name="____obl1712" localSheetId="42">#REF!</definedName>
    <definedName name="____obl1712">#REF!</definedName>
    <definedName name="____obl1713" localSheetId="11">#REF!</definedName>
    <definedName name="____obl1713" localSheetId="23">#REF!</definedName>
    <definedName name="____obl1713" localSheetId="24">#REF!</definedName>
    <definedName name="____obl1713" localSheetId="22">#REF!</definedName>
    <definedName name="____obl1713" localSheetId="25">#REF!</definedName>
    <definedName name="____obl1713" localSheetId="29">#REF!</definedName>
    <definedName name="____obl1713" localSheetId="27">#REF!</definedName>
    <definedName name="____obl1713" localSheetId="28">#REF!</definedName>
    <definedName name="____obl1713" localSheetId="12">#REF!</definedName>
    <definedName name="____obl1713" localSheetId="14">#REF!</definedName>
    <definedName name="____obl1713" localSheetId="19">#REF!</definedName>
    <definedName name="____obl1713" localSheetId="30">#REF!</definedName>
    <definedName name="____obl1713" localSheetId="31">#REF!</definedName>
    <definedName name="____obl1713" localSheetId="32">#REF!</definedName>
    <definedName name="____obl1713" localSheetId="39">#REF!</definedName>
    <definedName name="____obl1713" localSheetId="40">#REF!</definedName>
    <definedName name="____obl1713" localSheetId="41">#REF!</definedName>
    <definedName name="____obl1713" localSheetId="42">#REF!</definedName>
    <definedName name="____obl1713">#REF!</definedName>
    <definedName name="____obl1714" localSheetId="11">#REF!</definedName>
    <definedName name="____obl1714" localSheetId="23">#REF!</definedName>
    <definedName name="____obl1714" localSheetId="24">#REF!</definedName>
    <definedName name="____obl1714" localSheetId="22">#REF!</definedName>
    <definedName name="____obl1714" localSheetId="25">#REF!</definedName>
    <definedName name="____obl1714" localSheetId="29">#REF!</definedName>
    <definedName name="____obl1714" localSheetId="27">#REF!</definedName>
    <definedName name="____obl1714" localSheetId="28">#REF!</definedName>
    <definedName name="____obl1714" localSheetId="12">#REF!</definedName>
    <definedName name="____obl1714" localSheetId="14">#REF!</definedName>
    <definedName name="____obl1714" localSheetId="19">#REF!</definedName>
    <definedName name="____obl1714" localSheetId="30">#REF!</definedName>
    <definedName name="____obl1714" localSheetId="31">#REF!</definedName>
    <definedName name="____obl1714" localSheetId="32">#REF!</definedName>
    <definedName name="____obl1714" localSheetId="39">#REF!</definedName>
    <definedName name="____obl1714" localSheetId="40">#REF!</definedName>
    <definedName name="____obl1714" localSheetId="41">#REF!</definedName>
    <definedName name="____obl1714" localSheetId="42">#REF!</definedName>
    <definedName name="____obl1714">#REF!</definedName>
    <definedName name="____obl1715" localSheetId="11">#REF!</definedName>
    <definedName name="____obl1715" localSheetId="23">#REF!</definedName>
    <definedName name="____obl1715" localSheetId="24">#REF!</definedName>
    <definedName name="____obl1715" localSheetId="22">#REF!</definedName>
    <definedName name="____obl1715" localSheetId="25">#REF!</definedName>
    <definedName name="____obl1715" localSheetId="29">#REF!</definedName>
    <definedName name="____obl1715" localSheetId="27">#REF!</definedName>
    <definedName name="____obl1715" localSheetId="28">#REF!</definedName>
    <definedName name="____obl1715" localSheetId="12">#REF!</definedName>
    <definedName name="____obl1715" localSheetId="14">#REF!</definedName>
    <definedName name="____obl1715" localSheetId="19">#REF!</definedName>
    <definedName name="____obl1715" localSheetId="30">#REF!</definedName>
    <definedName name="____obl1715" localSheetId="31">#REF!</definedName>
    <definedName name="____obl1715" localSheetId="32">#REF!</definedName>
    <definedName name="____obl1715" localSheetId="39">#REF!</definedName>
    <definedName name="____obl1715" localSheetId="40">#REF!</definedName>
    <definedName name="____obl1715" localSheetId="41">#REF!</definedName>
    <definedName name="____obl1715" localSheetId="42">#REF!</definedName>
    <definedName name="____obl1715">#REF!</definedName>
    <definedName name="____obl1716" localSheetId="11">#REF!</definedName>
    <definedName name="____obl1716" localSheetId="23">#REF!</definedName>
    <definedName name="____obl1716" localSheetId="24">#REF!</definedName>
    <definedName name="____obl1716" localSheetId="22">#REF!</definedName>
    <definedName name="____obl1716" localSheetId="25">#REF!</definedName>
    <definedName name="____obl1716" localSheetId="29">#REF!</definedName>
    <definedName name="____obl1716" localSheetId="27">#REF!</definedName>
    <definedName name="____obl1716" localSheetId="28">#REF!</definedName>
    <definedName name="____obl1716" localSheetId="12">#REF!</definedName>
    <definedName name="____obl1716" localSheetId="14">#REF!</definedName>
    <definedName name="____obl1716" localSheetId="19">#REF!</definedName>
    <definedName name="____obl1716" localSheetId="30">#REF!</definedName>
    <definedName name="____obl1716" localSheetId="31">#REF!</definedName>
    <definedName name="____obl1716" localSheetId="32">#REF!</definedName>
    <definedName name="____obl1716" localSheetId="39">#REF!</definedName>
    <definedName name="____obl1716" localSheetId="40">#REF!</definedName>
    <definedName name="____obl1716" localSheetId="41">#REF!</definedName>
    <definedName name="____obl1716" localSheetId="42">#REF!</definedName>
    <definedName name="____obl1716">#REF!</definedName>
    <definedName name="____obl1717" localSheetId="11">#REF!</definedName>
    <definedName name="____obl1717" localSheetId="23">#REF!</definedName>
    <definedName name="____obl1717" localSheetId="24">#REF!</definedName>
    <definedName name="____obl1717" localSheetId="22">#REF!</definedName>
    <definedName name="____obl1717" localSheetId="25">#REF!</definedName>
    <definedName name="____obl1717" localSheetId="29">#REF!</definedName>
    <definedName name="____obl1717" localSheetId="27">#REF!</definedName>
    <definedName name="____obl1717" localSheetId="28">#REF!</definedName>
    <definedName name="____obl1717" localSheetId="12">#REF!</definedName>
    <definedName name="____obl1717" localSheetId="14">#REF!</definedName>
    <definedName name="____obl1717" localSheetId="19">#REF!</definedName>
    <definedName name="____obl1717" localSheetId="30">#REF!</definedName>
    <definedName name="____obl1717" localSheetId="31">#REF!</definedName>
    <definedName name="____obl1717" localSheetId="32">#REF!</definedName>
    <definedName name="____obl1717" localSheetId="39">#REF!</definedName>
    <definedName name="____obl1717" localSheetId="40">#REF!</definedName>
    <definedName name="____obl1717" localSheetId="41">#REF!</definedName>
    <definedName name="____obl1717" localSheetId="42">#REF!</definedName>
    <definedName name="____obl1717">#REF!</definedName>
    <definedName name="____obl1718" localSheetId="11">#REF!</definedName>
    <definedName name="____obl1718" localSheetId="23">#REF!</definedName>
    <definedName name="____obl1718" localSheetId="24">#REF!</definedName>
    <definedName name="____obl1718" localSheetId="22">#REF!</definedName>
    <definedName name="____obl1718" localSheetId="25">#REF!</definedName>
    <definedName name="____obl1718" localSheetId="29">#REF!</definedName>
    <definedName name="____obl1718" localSheetId="27">#REF!</definedName>
    <definedName name="____obl1718" localSheetId="28">#REF!</definedName>
    <definedName name="____obl1718" localSheetId="12">#REF!</definedName>
    <definedName name="____obl1718" localSheetId="14">#REF!</definedName>
    <definedName name="____obl1718" localSheetId="19">#REF!</definedName>
    <definedName name="____obl1718" localSheetId="30">#REF!</definedName>
    <definedName name="____obl1718" localSheetId="31">#REF!</definedName>
    <definedName name="____obl1718" localSheetId="32">#REF!</definedName>
    <definedName name="____obl1718" localSheetId="39">#REF!</definedName>
    <definedName name="____obl1718" localSheetId="40">#REF!</definedName>
    <definedName name="____obl1718" localSheetId="41">#REF!</definedName>
    <definedName name="____obl1718" localSheetId="42">#REF!</definedName>
    <definedName name="____obl1718">#REF!</definedName>
    <definedName name="____obl1719" localSheetId="11">#REF!</definedName>
    <definedName name="____obl1719" localSheetId="23">#REF!</definedName>
    <definedName name="____obl1719" localSheetId="24">#REF!</definedName>
    <definedName name="____obl1719" localSheetId="22">#REF!</definedName>
    <definedName name="____obl1719" localSheetId="25">#REF!</definedName>
    <definedName name="____obl1719" localSheetId="29">#REF!</definedName>
    <definedName name="____obl1719" localSheetId="27">#REF!</definedName>
    <definedName name="____obl1719" localSheetId="28">#REF!</definedName>
    <definedName name="____obl1719" localSheetId="12">#REF!</definedName>
    <definedName name="____obl1719" localSheetId="14">#REF!</definedName>
    <definedName name="____obl1719" localSheetId="19">#REF!</definedName>
    <definedName name="____obl1719" localSheetId="30">#REF!</definedName>
    <definedName name="____obl1719" localSheetId="31">#REF!</definedName>
    <definedName name="____obl1719" localSheetId="32">#REF!</definedName>
    <definedName name="____obl1719" localSheetId="39">#REF!</definedName>
    <definedName name="____obl1719" localSheetId="40">#REF!</definedName>
    <definedName name="____obl1719" localSheetId="41">#REF!</definedName>
    <definedName name="____obl1719" localSheetId="42">#REF!</definedName>
    <definedName name="____obl1719">#REF!</definedName>
    <definedName name="____obl173" localSheetId="11">#REF!</definedName>
    <definedName name="____obl173" localSheetId="23">#REF!</definedName>
    <definedName name="____obl173" localSheetId="24">#REF!</definedName>
    <definedName name="____obl173" localSheetId="22">#REF!</definedName>
    <definedName name="____obl173" localSheetId="25">#REF!</definedName>
    <definedName name="____obl173" localSheetId="29">#REF!</definedName>
    <definedName name="____obl173" localSheetId="27">#REF!</definedName>
    <definedName name="____obl173" localSheetId="28">#REF!</definedName>
    <definedName name="____obl173" localSheetId="12">#REF!</definedName>
    <definedName name="____obl173" localSheetId="14">#REF!</definedName>
    <definedName name="____obl173" localSheetId="19">#REF!</definedName>
    <definedName name="____obl173" localSheetId="30">#REF!</definedName>
    <definedName name="____obl173" localSheetId="31">#REF!</definedName>
    <definedName name="____obl173" localSheetId="32">#REF!</definedName>
    <definedName name="____obl173" localSheetId="39">#REF!</definedName>
    <definedName name="____obl173" localSheetId="40">#REF!</definedName>
    <definedName name="____obl173" localSheetId="41">#REF!</definedName>
    <definedName name="____obl173" localSheetId="42">#REF!</definedName>
    <definedName name="____obl173">#REF!</definedName>
    <definedName name="____obl174" localSheetId="11">#REF!</definedName>
    <definedName name="____obl174" localSheetId="23">#REF!</definedName>
    <definedName name="____obl174" localSheetId="24">#REF!</definedName>
    <definedName name="____obl174" localSheetId="22">#REF!</definedName>
    <definedName name="____obl174" localSheetId="25">#REF!</definedName>
    <definedName name="____obl174" localSheetId="29">#REF!</definedName>
    <definedName name="____obl174" localSheetId="27">#REF!</definedName>
    <definedName name="____obl174" localSheetId="28">#REF!</definedName>
    <definedName name="____obl174" localSheetId="12">#REF!</definedName>
    <definedName name="____obl174" localSheetId="14">#REF!</definedName>
    <definedName name="____obl174" localSheetId="19">#REF!</definedName>
    <definedName name="____obl174" localSheetId="30">#REF!</definedName>
    <definedName name="____obl174" localSheetId="31">#REF!</definedName>
    <definedName name="____obl174" localSheetId="32">#REF!</definedName>
    <definedName name="____obl174" localSheetId="39">#REF!</definedName>
    <definedName name="____obl174" localSheetId="40">#REF!</definedName>
    <definedName name="____obl174" localSheetId="41">#REF!</definedName>
    <definedName name="____obl174" localSheetId="42">#REF!</definedName>
    <definedName name="____obl174">#REF!</definedName>
    <definedName name="____obl175" localSheetId="11">#REF!</definedName>
    <definedName name="____obl175" localSheetId="23">#REF!</definedName>
    <definedName name="____obl175" localSheetId="24">#REF!</definedName>
    <definedName name="____obl175" localSheetId="22">#REF!</definedName>
    <definedName name="____obl175" localSheetId="25">#REF!</definedName>
    <definedName name="____obl175" localSheetId="29">#REF!</definedName>
    <definedName name="____obl175" localSheetId="27">#REF!</definedName>
    <definedName name="____obl175" localSheetId="28">#REF!</definedName>
    <definedName name="____obl175" localSheetId="12">#REF!</definedName>
    <definedName name="____obl175" localSheetId="14">#REF!</definedName>
    <definedName name="____obl175" localSheetId="19">#REF!</definedName>
    <definedName name="____obl175" localSheetId="30">#REF!</definedName>
    <definedName name="____obl175" localSheetId="31">#REF!</definedName>
    <definedName name="____obl175" localSheetId="32">#REF!</definedName>
    <definedName name="____obl175" localSheetId="39">#REF!</definedName>
    <definedName name="____obl175" localSheetId="40">#REF!</definedName>
    <definedName name="____obl175" localSheetId="41">#REF!</definedName>
    <definedName name="____obl175" localSheetId="42">#REF!</definedName>
    <definedName name="____obl175">#REF!</definedName>
    <definedName name="____obl176" localSheetId="11">#REF!</definedName>
    <definedName name="____obl176" localSheetId="23">#REF!</definedName>
    <definedName name="____obl176" localSheetId="24">#REF!</definedName>
    <definedName name="____obl176" localSheetId="22">#REF!</definedName>
    <definedName name="____obl176" localSheetId="25">#REF!</definedName>
    <definedName name="____obl176" localSheetId="29">#REF!</definedName>
    <definedName name="____obl176" localSheetId="27">#REF!</definedName>
    <definedName name="____obl176" localSheetId="28">#REF!</definedName>
    <definedName name="____obl176" localSheetId="12">#REF!</definedName>
    <definedName name="____obl176" localSheetId="14">#REF!</definedName>
    <definedName name="____obl176" localSheetId="19">#REF!</definedName>
    <definedName name="____obl176" localSheetId="30">#REF!</definedName>
    <definedName name="____obl176" localSheetId="31">#REF!</definedName>
    <definedName name="____obl176" localSheetId="32">#REF!</definedName>
    <definedName name="____obl176" localSheetId="39">#REF!</definedName>
    <definedName name="____obl176" localSheetId="40">#REF!</definedName>
    <definedName name="____obl176" localSheetId="41">#REF!</definedName>
    <definedName name="____obl176" localSheetId="42">#REF!</definedName>
    <definedName name="____obl176">#REF!</definedName>
    <definedName name="____obl177" localSheetId="11">#REF!</definedName>
    <definedName name="____obl177" localSheetId="23">#REF!</definedName>
    <definedName name="____obl177" localSheetId="24">#REF!</definedName>
    <definedName name="____obl177" localSheetId="22">#REF!</definedName>
    <definedName name="____obl177" localSheetId="25">#REF!</definedName>
    <definedName name="____obl177" localSheetId="29">#REF!</definedName>
    <definedName name="____obl177" localSheetId="27">#REF!</definedName>
    <definedName name="____obl177" localSheetId="28">#REF!</definedName>
    <definedName name="____obl177" localSheetId="12">#REF!</definedName>
    <definedName name="____obl177" localSheetId="14">#REF!</definedName>
    <definedName name="____obl177" localSheetId="19">#REF!</definedName>
    <definedName name="____obl177" localSheetId="30">#REF!</definedName>
    <definedName name="____obl177" localSheetId="31">#REF!</definedName>
    <definedName name="____obl177" localSheetId="32">#REF!</definedName>
    <definedName name="____obl177" localSheetId="39">#REF!</definedName>
    <definedName name="____obl177" localSheetId="40">#REF!</definedName>
    <definedName name="____obl177" localSheetId="41">#REF!</definedName>
    <definedName name="____obl177" localSheetId="42">#REF!</definedName>
    <definedName name="____obl177">#REF!</definedName>
    <definedName name="____obl178" localSheetId="11">#REF!</definedName>
    <definedName name="____obl178" localSheetId="23">#REF!</definedName>
    <definedName name="____obl178" localSheetId="24">#REF!</definedName>
    <definedName name="____obl178" localSheetId="22">#REF!</definedName>
    <definedName name="____obl178" localSheetId="25">#REF!</definedName>
    <definedName name="____obl178" localSheetId="29">#REF!</definedName>
    <definedName name="____obl178" localSheetId="27">#REF!</definedName>
    <definedName name="____obl178" localSheetId="28">#REF!</definedName>
    <definedName name="____obl178" localSheetId="12">#REF!</definedName>
    <definedName name="____obl178" localSheetId="14">#REF!</definedName>
    <definedName name="____obl178" localSheetId="19">#REF!</definedName>
    <definedName name="____obl178" localSheetId="30">#REF!</definedName>
    <definedName name="____obl178" localSheetId="31">#REF!</definedName>
    <definedName name="____obl178" localSheetId="32">#REF!</definedName>
    <definedName name="____obl178" localSheetId="39">#REF!</definedName>
    <definedName name="____obl178" localSheetId="40">#REF!</definedName>
    <definedName name="____obl178" localSheetId="41">#REF!</definedName>
    <definedName name="____obl178" localSheetId="42">#REF!</definedName>
    <definedName name="____obl178">#REF!</definedName>
    <definedName name="____obl179" localSheetId="11">#REF!</definedName>
    <definedName name="____obl179" localSheetId="23">#REF!</definedName>
    <definedName name="____obl179" localSheetId="24">#REF!</definedName>
    <definedName name="____obl179" localSheetId="22">#REF!</definedName>
    <definedName name="____obl179" localSheetId="25">#REF!</definedName>
    <definedName name="____obl179" localSheetId="29">#REF!</definedName>
    <definedName name="____obl179" localSheetId="27">#REF!</definedName>
    <definedName name="____obl179" localSheetId="28">#REF!</definedName>
    <definedName name="____obl179" localSheetId="12">#REF!</definedName>
    <definedName name="____obl179" localSheetId="14">#REF!</definedName>
    <definedName name="____obl179" localSheetId="19">#REF!</definedName>
    <definedName name="____obl179" localSheetId="30">#REF!</definedName>
    <definedName name="____obl179" localSheetId="31">#REF!</definedName>
    <definedName name="____obl179" localSheetId="32">#REF!</definedName>
    <definedName name="____obl179" localSheetId="39">#REF!</definedName>
    <definedName name="____obl179" localSheetId="40">#REF!</definedName>
    <definedName name="____obl179" localSheetId="41">#REF!</definedName>
    <definedName name="____obl179" localSheetId="42">#REF!</definedName>
    <definedName name="____obl179">#REF!</definedName>
    <definedName name="____obl18" localSheetId="11">#REF!</definedName>
    <definedName name="____obl18" localSheetId="23">#REF!</definedName>
    <definedName name="____obl18" localSheetId="24">#REF!</definedName>
    <definedName name="____obl18" localSheetId="22">#REF!</definedName>
    <definedName name="____obl18" localSheetId="25">#REF!</definedName>
    <definedName name="____obl18" localSheetId="29">#REF!</definedName>
    <definedName name="____obl18" localSheetId="27">#REF!</definedName>
    <definedName name="____obl18" localSheetId="28">#REF!</definedName>
    <definedName name="____obl18" localSheetId="12">#REF!</definedName>
    <definedName name="____obl18" localSheetId="14">#REF!</definedName>
    <definedName name="____obl18" localSheetId="19">#REF!</definedName>
    <definedName name="____obl18" localSheetId="30">#REF!</definedName>
    <definedName name="____obl18" localSheetId="31">#REF!</definedName>
    <definedName name="____obl18" localSheetId="32">#REF!</definedName>
    <definedName name="____obl18" localSheetId="39">#REF!</definedName>
    <definedName name="____obl18" localSheetId="40">#REF!</definedName>
    <definedName name="____obl18" localSheetId="41">#REF!</definedName>
    <definedName name="____obl18" localSheetId="42">#REF!</definedName>
    <definedName name="____obl18">#REF!</definedName>
    <definedName name="____obl181" localSheetId="11">#REF!</definedName>
    <definedName name="____obl181" localSheetId="23">#REF!</definedName>
    <definedName name="____obl181" localSheetId="24">#REF!</definedName>
    <definedName name="____obl181" localSheetId="22">#REF!</definedName>
    <definedName name="____obl181" localSheetId="25">#REF!</definedName>
    <definedName name="____obl181" localSheetId="29">#REF!</definedName>
    <definedName name="____obl181" localSheetId="27">#REF!</definedName>
    <definedName name="____obl181" localSheetId="28">#REF!</definedName>
    <definedName name="____obl181" localSheetId="12">#REF!</definedName>
    <definedName name="____obl181" localSheetId="14">#REF!</definedName>
    <definedName name="____obl181" localSheetId="19">#REF!</definedName>
    <definedName name="____obl181" localSheetId="30">#REF!</definedName>
    <definedName name="____obl181" localSheetId="31">#REF!</definedName>
    <definedName name="____obl181" localSheetId="32">#REF!</definedName>
    <definedName name="____obl181" localSheetId="39">#REF!</definedName>
    <definedName name="____obl181" localSheetId="40">#REF!</definedName>
    <definedName name="____obl181" localSheetId="41">#REF!</definedName>
    <definedName name="____obl181" localSheetId="42">#REF!</definedName>
    <definedName name="____obl181">#REF!</definedName>
    <definedName name="____obl1816" localSheetId="11">#REF!</definedName>
    <definedName name="____obl1816" localSheetId="23">#REF!</definedName>
    <definedName name="____obl1816" localSheetId="24">#REF!</definedName>
    <definedName name="____obl1816" localSheetId="22">#REF!</definedName>
    <definedName name="____obl1816" localSheetId="25">#REF!</definedName>
    <definedName name="____obl1816" localSheetId="29">#REF!</definedName>
    <definedName name="____obl1816" localSheetId="27">#REF!</definedName>
    <definedName name="____obl1816" localSheetId="28">#REF!</definedName>
    <definedName name="____obl1816" localSheetId="12">#REF!</definedName>
    <definedName name="____obl1816" localSheetId="14">#REF!</definedName>
    <definedName name="____obl1816" localSheetId="19">#REF!</definedName>
    <definedName name="____obl1816" localSheetId="30">#REF!</definedName>
    <definedName name="____obl1816" localSheetId="31">#REF!</definedName>
    <definedName name="____obl1816" localSheetId="32">#REF!</definedName>
    <definedName name="____obl1816" localSheetId="39">#REF!</definedName>
    <definedName name="____obl1816" localSheetId="40">#REF!</definedName>
    <definedName name="____obl1816" localSheetId="41">#REF!</definedName>
    <definedName name="____obl1816" localSheetId="42">#REF!</definedName>
    <definedName name="____obl1816">#REF!</definedName>
    <definedName name="____obl1820" localSheetId="11">#REF!</definedName>
    <definedName name="____obl1820" localSheetId="23">#REF!</definedName>
    <definedName name="____obl1820" localSheetId="24">#REF!</definedName>
    <definedName name="____obl1820" localSheetId="22">#REF!</definedName>
    <definedName name="____obl1820" localSheetId="25">#REF!</definedName>
    <definedName name="____obl1820" localSheetId="29">#REF!</definedName>
    <definedName name="____obl1820" localSheetId="27">#REF!</definedName>
    <definedName name="____obl1820" localSheetId="28">#REF!</definedName>
    <definedName name="____obl1820" localSheetId="12">#REF!</definedName>
    <definedName name="____obl1820" localSheetId="14">#REF!</definedName>
    <definedName name="____obl1820" localSheetId="19">#REF!</definedName>
    <definedName name="____obl1820" localSheetId="30">#REF!</definedName>
    <definedName name="____obl1820" localSheetId="31">#REF!</definedName>
    <definedName name="____obl1820" localSheetId="32">#REF!</definedName>
    <definedName name="____obl1820" localSheetId="39">#REF!</definedName>
    <definedName name="____obl1820" localSheetId="40">#REF!</definedName>
    <definedName name="____obl1820" localSheetId="41">#REF!</definedName>
    <definedName name="____obl1820" localSheetId="42">#REF!</definedName>
    <definedName name="____obl1820">#REF!</definedName>
    <definedName name="____obl1821" localSheetId="11">#REF!</definedName>
    <definedName name="____obl1821" localSheetId="23">#REF!</definedName>
    <definedName name="____obl1821" localSheetId="24">#REF!</definedName>
    <definedName name="____obl1821" localSheetId="22">#REF!</definedName>
    <definedName name="____obl1821" localSheetId="25">#REF!</definedName>
    <definedName name="____obl1821" localSheetId="29">#REF!</definedName>
    <definedName name="____obl1821" localSheetId="27">#REF!</definedName>
    <definedName name="____obl1821" localSheetId="28">#REF!</definedName>
    <definedName name="____obl1821" localSheetId="12">#REF!</definedName>
    <definedName name="____obl1821" localSheetId="14">#REF!</definedName>
    <definedName name="____obl1821" localSheetId="19">#REF!</definedName>
    <definedName name="____obl1821" localSheetId="30">#REF!</definedName>
    <definedName name="____obl1821" localSheetId="31">#REF!</definedName>
    <definedName name="____obl1821" localSheetId="32">#REF!</definedName>
    <definedName name="____obl1821" localSheetId="39">#REF!</definedName>
    <definedName name="____obl1821" localSheetId="40">#REF!</definedName>
    <definedName name="____obl1821" localSheetId="41">#REF!</definedName>
    <definedName name="____obl1821" localSheetId="42">#REF!</definedName>
    <definedName name="____obl1821">#REF!</definedName>
    <definedName name="____obl1822" localSheetId="11">#REF!</definedName>
    <definedName name="____obl1822" localSheetId="23">#REF!</definedName>
    <definedName name="____obl1822" localSheetId="24">#REF!</definedName>
    <definedName name="____obl1822" localSheetId="22">#REF!</definedName>
    <definedName name="____obl1822" localSheetId="25">#REF!</definedName>
    <definedName name="____obl1822" localSheetId="29">#REF!</definedName>
    <definedName name="____obl1822" localSheetId="27">#REF!</definedName>
    <definedName name="____obl1822" localSheetId="28">#REF!</definedName>
    <definedName name="____obl1822" localSheetId="12">#REF!</definedName>
    <definedName name="____obl1822" localSheetId="14">#REF!</definedName>
    <definedName name="____obl1822" localSheetId="19">#REF!</definedName>
    <definedName name="____obl1822" localSheetId="30">#REF!</definedName>
    <definedName name="____obl1822" localSheetId="31">#REF!</definedName>
    <definedName name="____obl1822" localSheetId="32">#REF!</definedName>
    <definedName name="____obl1822" localSheetId="39">#REF!</definedName>
    <definedName name="____obl1822" localSheetId="40">#REF!</definedName>
    <definedName name="____obl1822" localSheetId="41">#REF!</definedName>
    <definedName name="____obl1822" localSheetId="42">#REF!</definedName>
    <definedName name="____obl1822">#REF!</definedName>
    <definedName name="____obl1823" localSheetId="11">#REF!</definedName>
    <definedName name="____obl1823" localSheetId="23">#REF!</definedName>
    <definedName name="____obl1823" localSheetId="24">#REF!</definedName>
    <definedName name="____obl1823" localSheetId="22">#REF!</definedName>
    <definedName name="____obl1823" localSheetId="25">#REF!</definedName>
    <definedName name="____obl1823" localSheetId="29">#REF!</definedName>
    <definedName name="____obl1823" localSheetId="27">#REF!</definedName>
    <definedName name="____obl1823" localSheetId="28">#REF!</definedName>
    <definedName name="____obl1823" localSheetId="12">#REF!</definedName>
    <definedName name="____obl1823" localSheetId="14">#REF!</definedName>
    <definedName name="____obl1823" localSheetId="19">#REF!</definedName>
    <definedName name="____obl1823" localSheetId="30">#REF!</definedName>
    <definedName name="____obl1823" localSheetId="31">#REF!</definedName>
    <definedName name="____obl1823" localSheetId="32">#REF!</definedName>
    <definedName name="____obl1823" localSheetId="39">#REF!</definedName>
    <definedName name="____obl1823" localSheetId="40">#REF!</definedName>
    <definedName name="____obl1823" localSheetId="41">#REF!</definedName>
    <definedName name="____obl1823" localSheetId="42">#REF!</definedName>
    <definedName name="____obl1823">#REF!</definedName>
    <definedName name="____obl1824" localSheetId="11">#REF!</definedName>
    <definedName name="____obl1824" localSheetId="23">#REF!</definedName>
    <definedName name="____obl1824" localSheetId="24">#REF!</definedName>
    <definedName name="____obl1824" localSheetId="22">#REF!</definedName>
    <definedName name="____obl1824" localSheetId="25">#REF!</definedName>
    <definedName name="____obl1824" localSheetId="29">#REF!</definedName>
    <definedName name="____obl1824" localSheetId="27">#REF!</definedName>
    <definedName name="____obl1824" localSheetId="28">#REF!</definedName>
    <definedName name="____obl1824" localSheetId="12">#REF!</definedName>
    <definedName name="____obl1824" localSheetId="14">#REF!</definedName>
    <definedName name="____obl1824" localSheetId="19">#REF!</definedName>
    <definedName name="____obl1824" localSheetId="30">#REF!</definedName>
    <definedName name="____obl1824" localSheetId="31">#REF!</definedName>
    <definedName name="____obl1824" localSheetId="32">#REF!</definedName>
    <definedName name="____obl1824" localSheetId="39">#REF!</definedName>
    <definedName name="____obl1824" localSheetId="40">#REF!</definedName>
    <definedName name="____obl1824" localSheetId="41">#REF!</definedName>
    <definedName name="____obl1824" localSheetId="42">#REF!</definedName>
    <definedName name="____obl1824">#REF!</definedName>
    <definedName name="____obl1825" localSheetId="11">#REF!</definedName>
    <definedName name="____obl1825" localSheetId="23">#REF!</definedName>
    <definedName name="____obl1825" localSheetId="24">#REF!</definedName>
    <definedName name="____obl1825" localSheetId="22">#REF!</definedName>
    <definedName name="____obl1825" localSheetId="25">#REF!</definedName>
    <definedName name="____obl1825" localSheetId="29">#REF!</definedName>
    <definedName name="____obl1825" localSheetId="27">#REF!</definedName>
    <definedName name="____obl1825" localSheetId="28">#REF!</definedName>
    <definedName name="____obl1825" localSheetId="12">#REF!</definedName>
    <definedName name="____obl1825" localSheetId="14">#REF!</definedName>
    <definedName name="____obl1825" localSheetId="19">#REF!</definedName>
    <definedName name="____obl1825" localSheetId="30">#REF!</definedName>
    <definedName name="____obl1825" localSheetId="31">#REF!</definedName>
    <definedName name="____obl1825" localSheetId="32">#REF!</definedName>
    <definedName name="____obl1825" localSheetId="39">#REF!</definedName>
    <definedName name="____obl1825" localSheetId="40">#REF!</definedName>
    <definedName name="____obl1825" localSheetId="41">#REF!</definedName>
    <definedName name="____obl1825" localSheetId="42">#REF!</definedName>
    <definedName name="____obl1825">#REF!</definedName>
    <definedName name="____obl1826" localSheetId="11">#REF!</definedName>
    <definedName name="____obl1826" localSheetId="23">#REF!</definedName>
    <definedName name="____obl1826" localSheetId="24">#REF!</definedName>
    <definedName name="____obl1826" localSheetId="22">#REF!</definedName>
    <definedName name="____obl1826" localSheetId="25">#REF!</definedName>
    <definedName name="____obl1826" localSheetId="29">#REF!</definedName>
    <definedName name="____obl1826" localSheetId="27">#REF!</definedName>
    <definedName name="____obl1826" localSheetId="28">#REF!</definedName>
    <definedName name="____obl1826" localSheetId="12">#REF!</definedName>
    <definedName name="____obl1826" localSheetId="14">#REF!</definedName>
    <definedName name="____obl1826" localSheetId="19">#REF!</definedName>
    <definedName name="____obl1826" localSheetId="30">#REF!</definedName>
    <definedName name="____obl1826" localSheetId="31">#REF!</definedName>
    <definedName name="____obl1826" localSheetId="32">#REF!</definedName>
    <definedName name="____obl1826" localSheetId="39">#REF!</definedName>
    <definedName name="____obl1826" localSheetId="40">#REF!</definedName>
    <definedName name="____obl1826" localSheetId="41">#REF!</definedName>
    <definedName name="____obl1826" localSheetId="42">#REF!</definedName>
    <definedName name="____obl1826">#REF!</definedName>
    <definedName name="____obl1827" localSheetId="11">#REF!</definedName>
    <definedName name="____obl1827" localSheetId="23">#REF!</definedName>
    <definedName name="____obl1827" localSheetId="24">#REF!</definedName>
    <definedName name="____obl1827" localSheetId="22">#REF!</definedName>
    <definedName name="____obl1827" localSheetId="25">#REF!</definedName>
    <definedName name="____obl1827" localSheetId="29">#REF!</definedName>
    <definedName name="____obl1827" localSheetId="27">#REF!</definedName>
    <definedName name="____obl1827" localSheetId="28">#REF!</definedName>
    <definedName name="____obl1827" localSheetId="12">#REF!</definedName>
    <definedName name="____obl1827" localSheetId="14">#REF!</definedName>
    <definedName name="____obl1827" localSheetId="19">#REF!</definedName>
    <definedName name="____obl1827" localSheetId="30">#REF!</definedName>
    <definedName name="____obl1827" localSheetId="31">#REF!</definedName>
    <definedName name="____obl1827" localSheetId="32">#REF!</definedName>
    <definedName name="____obl1827" localSheetId="39">#REF!</definedName>
    <definedName name="____obl1827" localSheetId="40">#REF!</definedName>
    <definedName name="____obl1827" localSheetId="41">#REF!</definedName>
    <definedName name="____obl1827" localSheetId="42">#REF!</definedName>
    <definedName name="____obl1827">#REF!</definedName>
    <definedName name="____obl1828" localSheetId="11">#REF!</definedName>
    <definedName name="____obl1828" localSheetId="23">#REF!</definedName>
    <definedName name="____obl1828" localSheetId="24">#REF!</definedName>
    <definedName name="____obl1828" localSheetId="22">#REF!</definedName>
    <definedName name="____obl1828" localSheetId="25">#REF!</definedName>
    <definedName name="____obl1828" localSheetId="29">#REF!</definedName>
    <definedName name="____obl1828" localSheetId="27">#REF!</definedName>
    <definedName name="____obl1828" localSheetId="28">#REF!</definedName>
    <definedName name="____obl1828" localSheetId="12">#REF!</definedName>
    <definedName name="____obl1828" localSheetId="14">#REF!</definedName>
    <definedName name="____obl1828" localSheetId="19">#REF!</definedName>
    <definedName name="____obl1828" localSheetId="30">#REF!</definedName>
    <definedName name="____obl1828" localSheetId="31">#REF!</definedName>
    <definedName name="____obl1828" localSheetId="32">#REF!</definedName>
    <definedName name="____obl1828" localSheetId="39">#REF!</definedName>
    <definedName name="____obl1828" localSheetId="40">#REF!</definedName>
    <definedName name="____obl1828" localSheetId="41">#REF!</definedName>
    <definedName name="____obl1828" localSheetId="42">#REF!</definedName>
    <definedName name="____obl1828">#REF!</definedName>
    <definedName name="____obl1829" localSheetId="11">#REF!</definedName>
    <definedName name="____obl1829" localSheetId="23">#REF!</definedName>
    <definedName name="____obl1829" localSheetId="24">#REF!</definedName>
    <definedName name="____obl1829" localSheetId="22">#REF!</definedName>
    <definedName name="____obl1829" localSheetId="25">#REF!</definedName>
    <definedName name="____obl1829" localSheetId="29">#REF!</definedName>
    <definedName name="____obl1829" localSheetId="27">#REF!</definedName>
    <definedName name="____obl1829" localSheetId="28">#REF!</definedName>
    <definedName name="____obl1829" localSheetId="12">#REF!</definedName>
    <definedName name="____obl1829" localSheetId="14">#REF!</definedName>
    <definedName name="____obl1829" localSheetId="19">#REF!</definedName>
    <definedName name="____obl1829" localSheetId="30">#REF!</definedName>
    <definedName name="____obl1829" localSheetId="31">#REF!</definedName>
    <definedName name="____obl1829" localSheetId="32">#REF!</definedName>
    <definedName name="____obl1829" localSheetId="39">#REF!</definedName>
    <definedName name="____obl1829" localSheetId="40">#REF!</definedName>
    <definedName name="____obl1829" localSheetId="41">#REF!</definedName>
    <definedName name="____obl1829" localSheetId="42">#REF!</definedName>
    <definedName name="____obl1829">#REF!</definedName>
    <definedName name="____obl183" localSheetId="11">#REF!</definedName>
    <definedName name="____obl183" localSheetId="23">#REF!</definedName>
    <definedName name="____obl183" localSheetId="24">#REF!</definedName>
    <definedName name="____obl183" localSheetId="22">#REF!</definedName>
    <definedName name="____obl183" localSheetId="25">#REF!</definedName>
    <definedName name="____obl183" localSheetId="29">#REF!</definedName>
    <definedName name="____obl183" localSheetId="27">#REF!</definedName>
    <definedName name="____obl183" localSheetId="28">#REF!</definedName>
    <definedName name="____obl183" localSheetId="12">#REF!</definedName>
    <definedName name="____obl183" localSheetId="14">#REF!</definedName>
    <definedName name="____obl183" localSheetId="19">#REF!</definedName>
    <definedName name="____obl183" localSheetId="30">#REF!</definedName>
    <definedName name="____obl183" localSheetId="31">#REF!</definedName>
    <definedName name="____obl183" localSheetId="32">#REF!</definedName>
    <definedName name="____obl183" localSheetId="39">#REF!</definedName>
    <definedName name="____obl183" localSheetId="40">#REF!</definedName>
    <definedName name="____obl183" localSheetId="41">#REF!</definedName>
    <definedName name="____obl183" localSheetId="42">#REF!</definedName>
    <definedName name="____obl183">#REF!</definedName>
    <definedName name="____obl1831" localSheetId="11">#REF!</definedName>
    <definedName name="____obl1831" localSheetId="23">#REF!</definedName>
    <definedName name="____obl1831" localSheetId="24">#REF!</definedName>
    <definedName name="____obl1831" localSheetId="22">#REF!</definedName>
    <definedName name="____obl1831" localSheetId="25">#REF!</definedName>
    <definedName name="____obl1831" localSheetId="29">#REF!</definedName>
    <definedName name="____obl1831" localSheetId="27">#REF!</definedName>
    <definedName name="____obl1831" localSheetId="28">#REF!</definedName>
    <definedName name="____obl1831" localSheetId="12">#REF!</definedName>
    <definedName name="____obl1831" localSheetId="14">#REF!</definedName>
    <definedName name="____obl1831" localSheetId="19">#REF!</definedName>
    <definedName name="____obl1831" localSheetId="30">#REF!</definedName>
    <definedName name="____obl1831" localSheetId="31">#REF!</definedName>
    <definedName name="____obl1831" localSheetId="32">#REF!</definedName>
    <definedName name="____obl1831" localSheetId="39">#REF!</definedName>
    <definedName name="____obl1831" localSheetId="40">#REF!</definedName>
    <definedName name="____obl1831" localSheetId="41">#REF!</definedName>
    <definedName name="____obl1831" localSheetId="42">#REF!</definedName>
    <definedName name="____obl1831">#REF!</definedName>
    <definedName name="____obl1832" localSheetId="11">#REF!</definedName>
    <definedName name="____obl1832" localSheetId="23">#REF!</definedName>
    <definedName name="____obl1832" localSheetId="24">#REF!</definedName>
    <definedName name="____obl1832" localSheetId="22">#REF!</definedName>
    <definedName name="____obl1832" localSheetId="25">#REF!</definedName>
    <definedName name="____obl1832" localSheetId="29">#REF!</definedName>
    <definedName name="____obl1832" localSheetId="27">#REF!</definedName>
    <definedName name="____obl1832" localSheetId="28">#REF!</definedName>
    <definedName name="____obl1832" localSheetId="12">#REF!</definedName>
    <definedName name="____obl1832" localSheetId="14">#REF!</definedName>
    <definedName name="____obl1832" localSheetId="19">#REF!</definedName>
    <definedName name="____obl1832" localSheetId="30">#REF!</definedName>
    <definedName name="____obl1832" localSheetId="31">#REF!</definedName>
    <definedName name="____obl1832" localSheetId="32">#REF!</definedName>
    <definedName name="____obl1832" localSheetId="39">#REF!</definedName>
    <definedName name="____obl1832" localSheetId="40">#REF!</definedName>
    <definedName name="____obl1832" localSheetId="41">#REF!</definedName>
    <definedName name="____obl1832" localSheetId="42">#REF!</definedName>
    <definedName name="____obl1832">#REF!</definedName>
    <definedName name="____obl184" localSheetId="11">#REF!</definedName>
    <definedName name="____obl184" localSheetId="23">#REF!</definedName>
    <definedName name="____obl184" localSheetId="24">#REF!</definedName>
    <definedName name="____obl184" localSheetId="22">#REF!</definedName>
    <definedName name="____obl184" localSheetId="25">#REF!</definedName>
    <definedName name="____obl184" localSheetId="29">#REF!</definedName>
    <definedName name="____obl184" localSheetId="27">#REF!</definedName>
    <definedName name="____obl184" localSheetId="28">#REF!</definedName>
    <definedName name="____obl184" localSheetId="12">#REF!</definedName>
    <definedName name="____obl184" localSheetId="14">#REF!</definedName>
    <definedName name="____obl184" localSheetId="19">#REF!</definedName>
    <definedName name="____obl184" localSheetId="30">#REF!</definedName>
    <definedName name="____obl184" localSheetId="31">#REF!</definedName>
    <definedName name="____obl184" localSheetId="32">#REF!</definedName>
    <definedName name="____obl184" localSheetId="39">#REF!</definedName>
    <definedName name="____obl184" localSheetId="40">#REF!</definedName>
    <definedName name="____obl184" localSheetId="41">#REF!</definedName>
    <definedName name="____obl184" localSheetId="42">#REF!</definedName>
    <definedName name="____obl184">#REF!</definedName>
    <definedName name="____obl185" localSheetId="11">#REF!</definedName>
    <definedName name="____obl185" localSheetId="23">#REF!</definedName>
    <definedName name="____obl185" localSheetId="24">#REF!</definedName>
    <definedName name="____obl185" localSheetId="22">#REF!</definedName>
    <definedName name="____obl185" localSheetId="25">#REF!</definedName>
    <definedName name="____obl185" localSheetId="29">#REF!</definedName>
    <definedName name="____obl185" localSheetId="27">#REF!</definedName>
    <definedName name="____obl185" localSheetId="28">#REF!</definedName>
    <definedName name="____obl185" localSheetId="12">#REF!</definedName>
    <definedName name="____obl185" localSheetId="14">#REF!</definedName>
    <definedName name="____obl185" localSheetId="19">#REF!</definedName>
    <definedName name="____obl185" localSheetId="30">#REF!</definedName>
    <definedName name="____obl185" localSheetId="31">#REF!</definedName>
    <definedName name="____obl185" localSheetId="32">#REF!</definedName>
    <definedName name="____obl185" localSheetId="39">#REF!</definedName>
    <definedName name="____obl185" localSheetId="40">#REF!</definedName>
    <definedName name="____obl185" localSheetId="41">#REF!</definedName>
    <definedName name="____obl185" localSheetId="42">#REF!</definedName>
    <definedName name="____obl185">#REF!</definedName>
    <definedName name="____obl186" localSheetId="11">#REF!</definedName>
    <definedName name="____obl186" localSheetId="23">#REF!</definedName>
    <definedName name="____obl186" localSheetId="24">#REF!</definedName>
    <definedName name="____obl186" localSheetId="22">#REF!</definedName>
    <definedName name="____obl186" localSheetId="25">#REF!</definedName>
    <definedName name="____obl186" localSheetId="29">#REF!</definedName>
    <definedName name="____obl186" localSheetId="27">#REF!</definedName>
    <definedName name="____obl186" localSheetId="28">#REF!</definedName>
    <definedName name="____obl186" localSheetId="12">#REF!</definedName>
    <definedName name="____obl186" localSheetId="14">#REF!</definedName>
    <definedName name="____obl186" localSheetId="19">#REF!</definedName>
    <definedName name="____obl186" localSheetId="30">#REF!</definedName>
    <definedName name="____obl186" localSheetId="31">#REF!</definedName>
    <definedName name="____obl186" localSheetId="32">#REF!</definedName>
    <definedName name="____obl186" localSheetId="39">#REF!</definedName>
    <definedName name="____obl186" localSheetId="40">#REF!</definedName>
    <definedName name="____obl186" localSheetId="41">#REF!</definedName>
    <definedName name="____obl186" localSheetId="42">#REF!</definedName>
    <definedName name="____obl186">#REF!</definedName>
    <definedName name="____obl187" localSheetId="11">#REF!</definedName>
    <definedName name="____obl187" localSheetId="23">#REF!</definedName>
    <definedName name="____obl187" localSheetId="24">#REF!</definedName>
    <definedName name="____obl187" localSheetId="22">#REF!</definedName>
    <definedName name="____obl187" localSheetId="25">#REF!</definedName>
    <definedName name="____obl187" localSheetId="29">#REF!</definedName>
    <definedName name="____obl187" localSheetId="27">#REF!</definedName>
    <definedName name="____obl187" localSheetId="28">#REF!</definedName>
    <definedName name="____obl187" localSheetId="12">#REF!</definedName>
    <definedName name="____obl187" localSheetId="14">#REF!</definedName>
    <definedName name="____obl187" localSheetId="19">#REF!</definedName>
    <definedName name="____obl187" localSheetId="30">#REF!</definedName>
    <definedName name="____obl187" localSheetId="31">#REF!</definedName>
    <definedName name="____obl187" localSheetId="32">#REF!</definedName>
    <definedName name="____obl187" localSheetId="39">#REF!</definedName>
    <definedName name="____obl187" localSheetId="40">#REF!</definedName>
    <definedName name="____obl187" localSheetId="41">#REF!</definedName>
    <definedName name="____obl187" localSheetId="42">#REF!</definedName>
    <definedName name="____obl187">#REF!</definedName>
    <definedName name="___obl11" localSheetId="11">#REF!</definedName>
    <definedName name="___obl11" localSheetId="24">#REF!</definedName>
    <definedName name="___obl11" localSheetId="25">#REF!</definedName>
    <definedName name="___obl11" localSheetId="29">#REF!</definedName>
    <definedName name="___obl11" localSheetId="27">#REF!</definedName>
    <definedName name="___obl11" localSheetId="28">#REF!</definedName>
    <definedName name="___obl11" localSheetId="12">#REF!</definedName>
    <definedName name="___obl11" localSheetId="14">#REF!</definedName>
    <definedName name="___obl11" localSheetId="19">#REF!</definedName>
    <definedName name="___obl11" localSheetId="30">#REF!</definedName>
    <definedName name="___obl11" localSheetId="31">#REF!</definedName>
    <definedName name="___obl11" localSheetId="32">#REF!</definedName>
    <definedName name="___obl11">#REF!</definedName>
    <definedName name="___obl12" localSheetId="11">#REF!</definedName>
    <definedName name="___obl12" localSheetId="24">#REF!</definedName>
    <definedName name="___obl12" localSheetId="25">#REF!</definedName>
    <definedName name="___obl12" localSheetId="29">#REF!</definedName>
    <definedName name="___obl12" localSheetId="27">#REF!</definedName>
    <definedName name="___obl12" localSheetId="28">#REF!</definedName>
    <definedName name="___obl12" localSheetId="12">#REF!</definedName>
    <definedName name="___obl12" localSheetId="14">#REF!</definedName>
    <definedName name="___obl12" localSheetId="19">#REF!</definedName>
    <definedName name="___obl12" localSheetId="30">#REF!</definedName>
    <definedName name="___obl12" localSheetId="31">#REF!</definedName>
    <definedName name="___obl12" localSheetId="32">#REF!</definedName>
    <definedName name="___obl12">#REF!</definedName>
    <definedName name="___obl13" localSheetId="11">#REF!</definedName>
    <definedName name="___obl13" localSheetId="24">#REF!</definedName>
    <definedName name="___obl13" localSheetId="25">#REF!</definedName>
    <definedName name="___obl13" localSheetId="29">#REF!</definedName>
    <definedName name="___obl13" localSheetId="27">#REF!</definedName>
    <definedName name="___obl13" localSheetId="28">#REF!</definedName>
    <definedName name="___obl13" localSheetId="12">#REF!</definedName>
    <definedName name="___obl13" localSheetId="14">#REF!</definedName>
    <definedName name="___obl13" localSheetId="19">#REF!</definedName>
    <definedName name="___obl13" localSheetId="30">#REF!</definedName>
    <definedName name="___obl13" localSheetId="31">#REF!</definedName>
    <definedName name="___obl13" localSheetId="32">#REF!</definedName>
    <definedName name="___obl13">#REF!</definedName>
    <definedName name="___obl14" localSheetId="11">#REF!</definedName>
    <definedName name="___obl14" localSheetId="24">#REF!</definedName>
    <definedName name="___obl14" localSheetId="25">#REF!</definedName>
    <definedName name="___obl14" localSheetId="29">#REF!</definedName>
    <definedName name="___obl14" localSheetId="27">#REF!</definedName>
    <definedName name="___obl14" localSheetId="28">#REF!</definedName>
    <definedName name="___obl14" localSheetId="12">#REF!</definedName>
    <definedName name="___obl14" localSheetId="14">#REF!</definedName>
    <definedName name="___obl14" localSheetId="19">#REF!</definedName>
    <definedName name="___obl14" localSheetId="30">#REF!</definedName>
    <definedName name="___obl14" localSheetId="31">#REF!</definedName>
    <definedName name="___obl14" localSheetId="32">#REF!</definedName>
    <definedName name="___obl14">#REF!</definedName>
    <definedName name="___obl15" localSheetId="11">#REF!</definedName>
    <definedName name="___obl15" localSheetId="24">#REF!</definedName>
    <definedName name="___obl15" localSheetId="25">#REF!</definedName>
    <definedName name="___obl15" localSheetId="29">#REF!</definedName>
    <definedName name="___obl15" localSheetId="27">#REF!</definedName>
    <definedName name="___obl15" localSheetId="28">#REF!</definedName>
    <definedName name="___obl15" localSheetId="12">#REF!</definedName>
    <definedName name="___obl15" localSheetId="14">#REF!</definedName>
    <definedName name="___obl15" localSheetId="19">#REF!</definedName>
    <definedName name="___obl15" localSheetId="30">#REF!</definedName>
    <definedName name="___obl15" localSheetId="31">#REF!</definedName>
    <definedName name="___obl15" localSheetId="32">#REF!</definedName>
    <definedName name="___obl15">#REF!</definedName>
    <definedName name="___obl16" localSheetId="11">#REF!</definedName>
    <definedName name="___obl16" localSheetId="24">#REF!</definedName>
    <definedName name="___obl16" localSheetId="25">#REF!</definedName>
    <definedName name="___obl16" localSheetId="29">#REF!</definedName>
    <definedName name="___obl16" localSheetId="27">#REF!</definedName>
    <definedName name="___obl16" localSheetId="28">#REF!</definedName>
    <definedName name="___obl16" localSheetId="12">#REF!</definedName>
    <definedName name="___obl16" localSheetId="14">#REF!</definedName>
    <definedName name="___obl16" localSheetId="19">#REF!</definedName>
    <definedName name="___obl16" localSheetId="30">#REF!</definedName>
    <definedName name="___obl16" localSheetId="31">#REF!</definedName>
    <definedName name="___obl16" localSheetId="32">#REF!</definedName>
    <definedName name="___obl16">#REF!</definedName>
    <definedName name="___obl17" localSheetId="11">#REF!</definedName>
    <definedName name="___obl17" localSheetId="24">#REF!</definedName>
    <definedName name="___obl17" localSheetId="25">#REF!</definedName>
    <definedName name="___obl17" localSheetId="29">#REF!</definedName>
    <definedName name="___obl17" localSheetId="27">#REF!</definedName>
    <definedName name="___obl17" localSheetId="28">#REF!</definedName>
    <definedName name="___obl17" localSheetId="12">#REF!</definedName>
    <definedName name="___obl17" localSheetId="14">#REF!</definedName>
    <definedName name="___obl17" localSheetId="19">#REF!</definedName>
    <definedName name="___obl17" localSheetId="30">#REF!</definedName>
    <definedName name="___obl17" localSheetId="31">#REF!</definedName>
    <definedName name="___obl17" localSheetId="32">#REF!</definedName>
    <definedName name="___obl17">#REF!</definedName>
    <definedName name="___obl1710" localSheetId="11">#REF!</definedName>
    <definedName name="___obl1710" localSheetId="24">#REF!</definedName>
    <definedName name="___obl1710" localSheetId="25">#REF!</definedName>
    <definedName name="___obl1710" localSheetId="29">#REF!</definedName>
    <definedName name="___obl1710" localSheetId="27">#REF!</definedName>
    <definedName name="___obl1710" localSheetId="28">#REF!</definedName>
    <definedName name="___obl1710" localSheetId="12">#REF!</definedName>
    <definedName name="___obl1710" localSheetId="14">#REF!</definedName>
    <definedName name="___obl1710" localSheetId="19">#REF!</definedName>
    <definedName name="___obl1710" localSheetId="30">#REF!</definedName>
    <definedName name="___obl1710" localSheetId="31">#REF!</definedName>
    <definedName name="___obl1710" localSheetId="32">#REF!</definedName>
    <definedName name="___obl1710">#REF!</definedName>
    <definedName name="___obl1711" localSheetId="11">#REF!</definedName>
    <definedName name="___obl1711" localSheetId="24">#REF!</definedName>
    <definedName name="___obl1711" localSheetId="25">#REF!</definedName>
    <definedName name="___obl1711" localSheetId="29">#REF!</definedName>
    <definedName name="___obl1711" localSheetId="27">#REF!</definedName>
    <definedName name="___obl1711" localSheetId="28">#REF!</definedName>
    <definedName name="___obl1711" localSheetId="12">#REF!</definedName>
    <definedName name="___obl1711" localSheetId="14">#REF!</definedName>
    <definedName name="___obl1711" localSheetId="19">#REF!</definedName>
    <definedName name="___obl1711" localSheetId="30">#REF!</definedName>
    <definedName name="___obl1711" localSheetId="31">#REF!</definedName>
    <definedName name="___obl1711" localSheetId="32">#REF!</definedName>
    <definedName name="___obl1711">#REF!</definedName>
    <definedName name="___obl1712" localSheetId="11">#REF!</definedName>
    <definedName name="___obl1712" localSheetId="24">#REF!</definedName>
    <definedName name="___obl1712" localSheetId="25">#REF!</definedName>
    <definedName name="___obl1712" localSheetId="29">#REF!</definedName>
    <definedName name="___obl1712" localSheetId="27">#REF!</definedName>
    <definedName name="___obl1712" localSheetId="28">#REF!</definedName>
    <definedName name="___obl1712" localSheetId="12">#REF!</definedName>
    <definedName name="___obl1712" localSheetId="14">#REF!</definedName>
    <definedName name="___obl1712" localSheetId="19">#REF!</definedName>
    <definedName name="___obl1712" localSheetId="30">#REF!</definedName>
    <definedName name="___obl1712" localSheetId="31">#REF!</definedName>
    <definedName name="___obl1712" localSheetId="32">#REF!</definedName>
    <definedName name="___obl1712">#REF!</definedName>
    <definedName name="___obl1713" localSheetId="11">#REF!</definedName>
    <definedName name="___obl1713" localSheetId="24">#REF!</definedName>
    <definedName name="___obl1713" localSheetId="25">#REF!</definedName>
    <definedName name="___obl1713" localSheetId="29">#REF!</definedName>
    <definedName name="___obl1713" localSheetId="27">#REF!</definedName>
    <definedName name="___obl1713" localSheetId="28">#REF!</definedName>
    <definedName name="___obl1713" localSheetId="12">#REF!</definedName>
    <definedName name="___obl1713" localSheetId="14">#REF!</definedName>
    <definedName name="___obl1713" localSheetId="19">#REF!</definedName>
    <definedName name="___obl1713" localSheetId="30">#REF!</definedName>
    <definedName name="___obl1713" localSheetId="31">#REF!</definedName>
    <definedName name="___obl1713" localSheetId="32">#REF!</definedName>
    <definedName name="___obl1713">#REF!</definedName>
    <definedName name="___obl1714" localSheetId="11">#REF!</definedName>
    <definedName name="___obl1714" localSheetId="24">#REF!</definedName>
    <definedName name="___obl1714" localSheetId="25">#REF!</definedName>
    <definedName name="___obl1714" localSheetId="29">#REF!</definedName>
    <definedName name="___obl1714" localSheetId="27">#REF!</definedName>
    <definedName name="___obl1714" localSheetId="28">#REF!</definedName>
    <definedName name="___obl1714" localSheetId="12">#REF!</definedName>
    <definedName name="___obl1714" localSheetId="14">#REF!</definedName>
    <definedName name="___obl1714" localSheetId="19">#REF!</definedName>
    <definedName name="___obl1714" localSheetId="30">#REF!</definedName>
    <definedName name="___obl1714" localSheetId="31">#REF!</definedName>
    <definedName name="___obl1714" localSheetId="32">#REF!</definedName>
    <definedName name="___obl1714">#REF!</definedName>
    <definedName name="___obl1715" localSheetId="11">#REF!</definedName>
    <definedName name="___obl1715" localSheetId="24">#REF!</definedName>
    <definedName name="___obl1715" localSheetId="25">#REF!</definedName>
    <definedName name="___obl1715" localSheetId="29">#REF!</definedName>
    <definedName name="___obl1715" localSheetId="27">#REF!</definedName>
    <definedName name="___obl1715" localSheetId="28">#REF!</definedName>
    <definedName name="___obl1715" localSheetId="12">#REF!</definedName>
    <definedName name="___obl1715" localSheetId="14">#REF!</definedName>
    <definedName name="___obl1715" localSheetId="19">#REF!</definedName>
    <definedName name="___obl1715" localSheetId="30">#REF!</definedName>
    <definedName name="___obl1715" localSheetId="31">#REF!</definedName>
    <definedName name="___obl1715" localSheetId="32">#REF!</definedName>
    <definedName name="___obl1715">#REF!</definedName>
    <definedName name="___obl1716" localSheetId="11">#REF!</definedName>
    <definedName name="___obl1716" localSheetId="24">#REF!</definedName>
    <definedName name="___obl1716" localSheetId="25">#REF!</definedName>
    <definedName name="___obl1716" localSheetId="29">#REF!</definedName>
    <definedName name="___obl1716" localSheetId="27">#REF!</definedName>
    <definedName name="___obl1716" localSheetId="28">#REF!</definedName>
    <definedName name="___obl1716" localSheetId="12">#REF!</definedName>
    <definedName name="___obl1716" localSheetId="14">#REF!</definedName>
    <definedName name="___obl1716" localSheetId="19">#REF!</definedName>
    <definedName name="___obl1716" localSheetId="30">#REF!</definedName>
    <definedName name="___obl1716" localSheetId="31">#REF!</definedName>
    <definedName name="___obl1716" localSheetId="32">#REF!</definedName>
    <definedName name="___obl1716">#REF!</definedName>
    <definedName name="___obl1717" localSheetId="11">#REF!</definedName>
    <definedName name="___obl1717" localSheetId="24">#REF!</definedName>
    <definedName name="___obl1717" localSheetId="25">#REF!</definedName>
    <definedName name="___obl1717" localSheetId="29">#REF!</definedName>
    <definedName name="___obl1717" localSheetId="27">#REF!</definedName>
    <definedName name="___obl1717" localSheetId="28">#REF!</definedName>
    <definedName name="___obl1717" localSheetId="12">#REF!</definedName>
    <definedName name="___obl1717" localSheetId="14">#REF!</definedName>
    <definedName name="___obl1717" localSheetId="19">#REF!</definedName>
    <definedName name="___obl1717" localSheetId="30">#REF!</definedName>
    <definedName name="___obl1717" localSheetId="31">#REF!</definedName>
    <definedName name="___obl1717" localSheetId="32">#REF!</definedName>
    <definedName name="___obl1717">#REF!</definedName>
    <definedName name="___obl1718" localSheetId="11">#REF!</definedName>
    <definedName name="___obl1718" localSheetId="24">#REF!</definedName>
    <definedName name="___obl1718" localSheetId="25">#REF!</definedName>
    <definedName name="___obl1718" localSheetId="29">#REF!</definedName>
    <definedName name="___obl1718" localSheetId="27">#REF!</definedName>
    <definedName name="___obl1718" localSheetId="28">#REF!</definedName>
    <definedName name="___obl1718" localSheetId="12">#REF!</definedName>
    <definedName name="___obl1718" localSheetId="14">#REF!</definedName>
    <definedName name="___obl1718" localSheetId="19">#REF!</definedName>
    <definedName name="___obl1718" localSheetId="30">#REF!</definedName>
    <definedName name="___obl1718" localSheetId="31">#REF!</definedName>
    <definedName name="___obl1718" localSheetId="32">#REF!</definedName>
    <definedName name="___obl1718">#REF!</definedName>
    <definedName name="___obl1719" localSheetId="11">#REF!</definedName>
    <definedName name="___obl1719" localSheetId="24">#REF!</definedName>
    <definedName name="___obl1719" localSheetId="25">#REF!</definedName>
    <definedName name="___obl1719" localSheetId="29">#REF!</definedName>
    <definedName name="___obl1719" localSheetId="27">#REF!</definedName>
    <definedName name="___obl1719" localSheetId="28">#REF!</definedName>
    <definedName name="___obl1719" localSheetId="12">#REF!</definedName>
    <definedName name="___obl1719" localSheetId="14">#REF!</definedName>
    <definedName name="___obl1719" localSheetId="19">#REF!</definedName>
    <definedName name="___obl1719" localSheetId="30">#REF!</definedName>
    <definedName name="___obl1719" localSheetId="31">#REF!</definedName>
    <definedName name="___obl1719" localSheetId="32">#REF!</definedName>
    <definedName name="___obl1719">#REF!</definedName>
    <definedName name="___obl173" localSheetId="11">#REF!</definedName>
    <definedName name="___obl173" localSheetId="24">#REF!</definedName>
    <definedName name="___obl173" localSheetId="25">#REF!</definedName>
    <definedName name="___obl173" localSheetId="29">#REF!</definedName>
    <definedName name="___obl173" localSheetId="27">#REF!</definedName>
    <definedName name="___obl173" localSheetId="28">#REF!</definedName>
    <definedName name="___obl173" localSheetId="12">#REF!</definedName>
    <definedName name="___obl173" localSheetId="14">#REF!</definedName>
    <definedName name="___obl173" localSheetId="19">#REF!</definedName>
    <definedName name="___obl173" localSheetId="30">#REF!</definedName>
    <definedName name="___obl173" localSheetId="31">#REF!</definedName>
    <definedName name="___obl173" localSheetId="32">#REF!</definedName>
    <definedName name="___obl173">#REF!</definedName>
    <definedName name="___obl174" localSheetId="11">#REF!</definedName>
    <definedName name="___obl174" localSheetId="24">#REF!</definedName>
    <definedName name="___obl174" localSheetId="25">#REF!</definedName>
    <definedName name="___obl174" localSheetId="29">#REF!</definedName>
    <definedName name="___obl174" localSheetId="27">#REF!</definedName>
    <definedName name="___obl174" localSheetId="28">#REF!</definedName>
    <definedName name="___obl174" localSheetId="12">#REF!</definedName>
    <definedName name="___obl174" localSheetId="14">#REF!</definedName>
    <definedName name="___obl174" localSheetId="19">#REF!</definedName>
    <definedName name="___obl174" localSheetId="30">#REF!</definedName>
    <definedName name="___obl174" localSheetId="31">#REF!</definedName>
    <definedName name="___obl174" localSheetId="32">#REF!</definedName>
    <definedName name="___obl174">#REF!</definedName>
    <definedName name="___obl175" localSheetId="11">#REF!</definedName>
    <definedName name="___obl175" localSheetId="24">#REF!</definedName>
    <definedName name="___obl175" localSheetId="25">#REF!</definedName>
    <definedName name="___obl175" localSheetId="29">#REF!</definedName>
    <definedName name="___obl175" localSheetId="27">#REF!</definedName>
    <definedName name="___obl175" localSheetId="28">#REF!</definedName>
    <definedName name="___obl175" localSheetId="12">#REF!</definedName>
    <definedName name="___obl175" localSheetId="14">#REF!</definedName>
    <definedName name="___obl175" localSheetId="19">#REF!</definedName>
    <definedName name="___obl175" localSheetId="30">#REF!</definedName>
    <definedName name="___obl175" localSheetId="31">#REF!</definedName>
    <definedName name="___obl175" localSheetId="32">#REF!</definedName>
    <definedName name="___obl175">#REF!</definedName>
    <definedName name="___obl176" localSheetId="11">#REF!</definedName>
    <definedName name="___obl176" localSheetId="24">#REF!</definedName>
    <definedName name="___obl176" localSheetId="25">#REF!</definedName>
    <definedName name="___obl176" localSheetId="29">#REF!</definedName>
    <definedName name="___obl176" localSheetId="27">#REF!</definedName>
    <definedName name="___obl176" localSheetId="28">#REF!</definedName>
    <definedName name="___obl176" localSheetId="12">#REF!</definedName>
    <definedName name="___obl176" localSheetId="14">#REF!</definedName>
    <definedName name="___obl176" localSheetId="19">#REF!</definedName>
    <definedName name="___obl176" localSheetId="30">#REF!</definedName>
    <definedName name="___obl176" localSheetId="31">#REF!</definedName>
    <definedName name="___obl176" localSheetId="32">#REF!</definedName>
    <definedName name="___obl176">#REF!</definedName>
    <definedName name="___obl177" localSheetId="11">#REF!</definedName>
    <definedName name="___obl177" localSheetId="24">#REF!</definedName>
    <definedName name="___obl177" localSheetId="25">#REF!</definedName>
    <definedName name="___obl177" localSheetId="29">#REF!</definedName>
    <definedName name="___obl177" localSheetId="27">#REF!</definedName>
    <definedName name="___obl177" localSheetId="28">#REF!</definedName>
    <definedName name="___obl177" localSheetId="12">#REF!</definedName>
    <definedName name="___obl177" localSheetId="14">#REF!</definedName>
    <definedName name="___obl177" localSheetId="19">#REF!</definedName>
    <definedName name="___obl177" localSheetId="30">#REF!</definedName>
    <definedName name="___obl177" localSheetId="31">#REF!</definedName>
    <definedName name="___obl177" localSheetId="32">#REF!</definedName>
    <definedName name="___obl177">#REF!</definedName>
    <definedName name="___obl178" localSheetId="11">#REF!</definedName>
    <definedName name="___obl178" localSheetId="24">#REF!</definedName>
    <definedName name="___obl178" localSheetId="25">#REF!</definedName>
    <definedName name="___obl178" localSheetId="29">#REF!</definedName>
    <definedName name="___obl178" localSheetId="27">#REF!</definedName>
    <definedName name="___obl178" localSheetId="28">#REF!</definedName>
    <definedName name="___obl178" localSheetId="12">#REF!</definedName>
    <definedName name="___obl178" localSheetId="14">#REF!</definedName>
    <definedName name="___obl178" localSheetId="19">#REF!</definedName>
    <definedName name="___obl178" localSheetId="30">#REF!</definedName>
    <definedName name="___obl178" localSheetId="31">#REF!</definedName>
    <definedName name="___obl178" localSheetId="32">#REF!</definedName>
    <definedName name="___obl178">#REF!</definedName>
    <definedName name="___obl179" localSheetId="11">#REF!</definedName>
    <definedName name="___obl179" localSheetId="24">#REF!</definedName>
    <definedName name="___obl179" localSheetId="25">#REF!</definedName>
    <definedName name="___obl179" localSheetId="29">#REF!</definedName>
    <definedName name="___obl179" localSheetId="27">#REF!</definedName>
    <definedName name="___obl179" localSheetId="28">#REF!</definedName>
    <definedName name="___obl179" localSheetId="12">#REF!</definedName>
    <definedName name="___obl179" localSheetId="14">#REF!</definedName>
    <definedName name="___obl179" localSheetId="19">#REF!</definedName>
    <definedName name="___obl179" localSheetId="30">#REF!</definedName>
    <definedName name="___obl179" localSheetId="31">#REF!</definedName>
    <definedName name="___obl179" localSheetId="32">#REF!</definedName>
    <definedName name="___obl179">#REF!</definedName>
    <definedName name="___obl18" localSheetId="11">#REF!</definedName>
    <definedName name="___obl18" localSheetId="24">#REF!</definedName>
    <definedName name="___obl18" localSheetId="25">#REF!</definedName>
    <definedName name="___obl18" localSheetId="29">#REF!</definedName>
    <definedName name="___obl18" localSheetId="27">#REF!</definedName>
    <definedName name="___obl18" localSheetId="28">#REF!</definedName>
    <definedName name="___obl18" localSheetId="12">#REF!</definedName>
    <definedName name="___obl18" localSheetId="14">#REF!</definedName>
    <definedName name="___obl18" localSheetId="19">#REF!</definedName>
    <definedName name="___obl18" localSheetId="30">#REF!</definedName>
    <definedName name="___obl18" localSheetId="31">#REF!</definedName>
    <definedName name="___obl18" localSheetId="32">#REF!</definedName>
    <definedName name="___obl18">#REF!</definedName>
    <definedName name="___obl181" localSheetId="11">#REF!</definedName>
    <definedName name="___obl181" localSheetId="24">#REF!</definedName>
    <definedName name="___obl181" localSheetId="25">#REF!</definedName>
    <definedName name="___obl181" localSheetId="29">#REF!</definedName>
    <definedName name="___obl181" localSheetId="27">#REF!</definedName>
    <definedName name="___obl181" localSheetId="28">#REF!</definedName>
    <definedName name="___obl181" localSheetId="12">#REF!</definedName>
    <definedName name="___obl181" localSheetId="14">#REF!</definedName>
    <definedName name="___obl181" localSheetId="19">#REF!</definedName>
    <definedName name="___obl181" localSheetId="30">#REF!</definedName>
    <definedName name="___obl181" localSheetId="31">#REF!</definedName>
    <definedName name="___obl181" localSheetId="32">#REF!</definedName>
    <definedName name="___obl181">#REF!</definedName>
    <definedName name="___obl1816" localSheetId="11">#REF!</definedName>
    <definedName name="___obl1816" localSheetId="24">#REF!</definedName>
    <definedName name="___obl1816" localSheetId="25">#REF!</definedName>
    <definedName name="___obl1816" localSheetId="29">#REF!</definedName>
    <definedName name="___obl1816" localSheetId="27">#REF!</definedName>
    <definedName name="___obl1816" localSheetId="28">#REF!</definedName>
    <definedName name="___obl1816" localSheetId="12">#REF!</definedName>
    <definedName name="___obl1816" localSheetId="14">#REF!</definedName>
    <definedName name="___obl1816" localSheetId="19">#REF!</definedName>
    <definedName name="___obl1816" localSheetId="30">#REF!</definedName>
    <definedName name="___obl1816" localSheetId="31">#REF!</definedName>
    <definedName name="___obl1816" localSheetId="32">#REF!</definedName>
    <definedName name="___obl1816">#REF!</definedName>
    <definedName name="___obl1820" localSheetId="11">#REF!</definedName>
    <definedName name="___obl1820" localSheetId="24">#REF!</definedName>
    <definedName name="___obl1820" localSheetId="25">#REF!</definedName>
    <definedName name="___obl1820" localSheetId="29">#REF!</definedName>
    <definedName name="___obl1820" localSheetId="27">#REF!</definedName>
    <definedName name="___obl1820" localSheetId="28">#REF!</definedName>
    <definedName name="___obl1820" localSheetId="12">#REF!</definedName>
    <definedName name="___obl1820" localSheetId="14">#REF!</definedName>
    <definedName name="___obl1820" localSheetId="19">#REF!</definedName>
    <definedName name="___obl1820" localSheetId="30">#REF!</definedName>
    <definedName name="___obl1820" localSheetId="31">#REF!</definedName>
    <definedName name="___obl1820" localSheetId="32">#REF!</definedName>
    <definedName name="___obl1820">#REF!</definedName>
    <definedName name="___obl1821" localSheetId="11">#REF!</definedName>
    <definedName name="___obl1821" localSheetId="24">#REF!</definedName>
    <definedName name="___obl1821" localSheetId="25">#REF!</definedName>
    <definedName name="___obl1821" localSheetId="29">#REF!</definedName>
    <definedName name="___obl1821" localSheetId="27">#REF!</definedName>
    <definedName name="___obl1821" localSheetId="28">#REF!</definedName>
    <definedName name="___obl1821" localSheetId="12">#REF!</definedName>
    <definedName name="___obl1821" localSheetId="14">#REF!</definedName>
    <definedName name="___obl1821" localSheetId="19">#REF!</definedName>
    <definedName name="___obl1821" localSheetId="30">#REF!</definedName>
    <definedName name="___obl1821" localSheetId="31">#REF!</definedName>
    <definedName name="___obl1821" localSheetId="32">#REF!</definedName>
    <definedName name="___obl1821">#REF!</definedName>
    <definedName name="___obl1822" localSheetId="11">#REF!</definedName>
    <definedName name="___obl1822" localSheetId="24">#REF!</definedName>
    <definedName name="___obl1822" localSheetId="25">#REF!</definedName>
    <definedName name="___obl1822" localSheetId="29">#REF!</definedName>
    <definedName name="___obl1822" localSheetId="27">#REF!</definedName>
    <definedName name="___obl1822" localSheetId="28">#REF!</definedName>
    <definedName name="___obl1822" localSheetId="12">#REF!</definedName>
    <definedName name="___obl1822" localSheetId="14">#REF!</definedName>
    <definedName name="___obl1822" localSheetId="19">#REF!</definedName>
    <definedName name="___obl1822" localSheetId="30">#REF!</definedName>
    <definedName name="___obl1822" localSheetId="31">#REF!</definedName>
    <definedName name="___obl1822" localSheetId="32">#REF!</definedName>
    <definedName name="___obl1822">#REF!</definedName>
    <definedName name="___obl1823" localSheetId="11">#REF!</definedName>
    <definedName name="___obl1823" localSheetId="24">#REF!</definedName>
    <definedName name="___obl1823" localSheetId="25">#REF!</definedName>
    <definedName name="___obl1823" localSheetId="29">#REF!</definedName>
    <definedName name="___obl1823" localSheetId="27">#REF!</definedName>
    <definedName name="___obl1823" localSheetId="28">#REF!</definedName>
    <definedName name="___obl1823" localSheetId="12">#REF!</definedName>
    <definedName name="___obl1823" localSheetId="14">#REF!</definedName>
    <definedName name="___obl1823" localSheetId="19">#REF!</definedName>
    <definedName name="___obl1823" localSheetId="30">#REF!</definedName>
    <definedName name="___obl1823" localSheetId="31">#REF!</definedName>
    <definedName name="___obl1823" localSheetId="32">#REF!</definedName>
    <definedName name="___obl1823">#REF!</definedName>
    <definedName name="___obl1824" localSheetId="11">#REF!</definedName>
    <definedName name="___obl1824" localSheetId="24">#REF!</definedName>
    <definedName name="___obl1824" localSheetId="25">#REF!</definedName>
    <definedName name="___obl1824" localSheetId="29">#REF!</definedName>
    <definedName name="___obl1824" localSheetId="27">#REF!</definedName>
    <definedName name="___obl1824" localSheetId="28">#REF!</definedName>
    <definedName name="___obl1824" localSheetId="12">#REF!</definedName>
    <definedName name="___obl1824" localSheetId="14">#REF!</definedName>
    <definedName name="___obl1824" localSheetId="19">#REF!</definedName>
    <definedName name="___obl1824" localSheetId="30">#REF!</definedName>
    <definedName name="___obl1824" localSheetId="31">#REF!</definedName>
    <definedName name="___obl1824" localSheetId="32">#REF!</definedName>
    <definedName name="___obl1824">#REF!</definedName>
    <definedName name="___obl1825" localSheetId="11">#REF!</definedName>
    <definedName name="___obl1825" localSheetId="24">#REF!</definedName>
    <definedName name="___obl1825" localSheetId="25">#REF!</definedName>
    <definedName name="___obl1825" localSheetId="29">#REF!</definedName>
    <definedName name="___obl1825" localSheetId="27">#REF!</definedName>
    <definedName name="___obl1825" localSheetId="28">#REF!</definedName>
    <definedName name="___obl1825" localSheetId="12">#REF!</definedName>
    <definedName name="___obl1825" localSheetId="14">#REF!</definedName>
    <definedName name="___obl1825" localSheetId="19">#REF!</definedName>
    <definedName name="___obl1825" localSheetId="30">#REF!</definedName>
    <definedName name="___obl1825" localSheetId="31">#REF!</definedName>
    <definedName name="___obl1825" localSheetId="32">#REF!</definedName>
    <definedName name="___obl1825">#REF!</definedName>
    <definedName name="___obl1826" localSheetId="11">#REF!</definedName>
    <definedName name="___obl1826" localSheetId="24">#REF!</definedName>
    <definedName name="___obl1826" localSheetId="25">#REF!</definedName>
    <definedName name="___obl1826" localSheetId="29">#REF!</definedName>
    <definedName name="___obl1826" localSheetId="27">#REF!</definedName>
    <definedName name="___obl1826" localSheetId="28">#REF!</definedName>
    <definedName name="___obl1826" localSheetId="12">#REF!</definedName>
    <definedName name="___obl1826" localSheetId="14">#REF!</definedName>
    <definedName name="___obl1826" localSheetId="19">#REF!</definedName>
    <definedName name="___obl1826" localSheetId="30">#REF!</definedName>
    <definedName name="___obl1826" localSheetId="31">#REF!</definedName>
    <definedName name="___obl1826" localSheetId="32">#REF!</definedName>
    <definedName name="___obl1826">#REF!</definedName>
    <definedName name="___obl1827" localSheetId="11">#REF!</definedName>
    <definedName name="___obl1827" localSheetId="24">#REF!</definedName>
    <definedName name="___obl1827" localSheetId="25">#REF!</definedName>
    <definedName name="___obl1827" localSheetId="29">#REF!</definedName>
    <definedName name="___obl1827" localSheetId="27">#REF!</definedName>
    <definedName name="___obl1827" localSheetId="28">#REF!</definedName>
    <definedName name="___obl1827" localSheetId="12">#REF!</definedName>
    <definedName name="___obl1827" localSheetId="14">#REF!</definedName>
    <definedName name="___obl1827" localSheetId="19">#REF!</definedName>
    <definedName name="___obl1827" localSheetId="30">#REF!</definedName>
    <definedName name="___obl1827" localSheetId="31">#REF!</definedName>
    <definedName name="___obl1827" localSheetId="32">#REF!</definedName>
    <definedName name="___obl1827">#REF!</definedName>
    <definedName name="___obl1828" localSheetId="11">#REF!</definedName>
    <definedName name="___obl1828" localSheetId="24">#REF!</definedName>
    <definedName name="___obl1828" localSheetId="25">#REF!</definedName>
    <definedName name="___obl1828" localSheetId="29">#REF!</definedName>
    <definedName name="___obl1828" localSheetId="27">#REF!</definedName>
    <definedName name="___obl1828" localSheetId="28">#REF!</definedName>
    <definedName name="___obl1828" localSheetId="12">#REF!</definedName>
    <definedName name="___obl1828" localSheetId="14">#REF!</definedName>
    <definedName name="___obl1828" localSheetId="19">#REF!</definedName>
    <definedName name="___obl1828" localSheetId="30">#REF!</definedName>
    <definedName name="___obl1828" localSheetId="31">#REF!</definedName>
    <definedName name="___obl1828" localSheetId="32">#REF!</definedName>
    <definedName name="___obl1828">#REF!</definedName>
    <definedName name="___obl1829" localSheetId="11">#REF!</definedName>
    <definedName name="___obl1829" localSheetId="24">#REF!</definedName>
    <definedName name="___obl1829" localSheetId="25">#REF!</definedName>
    <definedName name="___obl1829" localSheetId="29">#REF!</definedName>
    <definedName name="___obl1829" localSheetId="27">#REF!</definedName>
    <definedName name="___obl1829" localSheetId="28">#REF!</definedName>
    <definedName name="___obl1829" localSheetId="12">#REF!</definedName>
    <definedName name="___obl1829" localSheetId="14">#REF!</definedName>
    <definedName name="___obl1829" localSheetId="19">#REF!</definedName>
    <definedName name="___obl1829" localSheetId="30">#REF!</definedName>
    <definedName name="___obl1829" localSheetId="31">#REF!</definedName>
    <definedName name="___obl1829" localSheetId="32">#REF!</definedName>
    <definedName name="___obl1829">#REF!</definedName>
    <definedName name="___obl183" localSheetId="11">#REF!</definedName>
    <definedName name="___obl183" localSheetId="24">#REF!</definedName>
    <definedName name="___obl183" localSheetId="25">#REF!</definedName>
    <definedName name="___obl183" localSheetId="29">#REF!</definedName>
    <definedName name="___obl183" localSheetId="27">#REF!</definedName>
    <definedName name="___obl183" localSheetId="28">#REF!</definedName>
    <definedName name="___obl183" localSheetId="12">#REF!</definedName>
    <definedName name="___obl183" localSheetId="14">#REF!</definedName>
    <definedName name="___obl183" localSheetId="19">#REF!</definedName>
    <definedName name="___obl183" localSheetId="30">#REF!</definedName>
    <definedName name="___obl183" localSheetId="31">#REF!</definedName>
    <definedName name="___obl183" localSheetId="32">#REF!</definedName>
    <definedName name="___obl183">#REF!</definedName>
    <definedName name="___obl1831" localSheetId="11">#REF!</definedName>
    <definedName name="___obl1831" localSheetId="24">#REF!</definedName>
    <definedName name="___obl1831" localSheetId="25">#REF!</definedName>
    <definedName name="___obl1831" localSheetId="29">#REF!</definedName>
    <definedName name="___obl1831" localSheetId="27">#REF!</definedName>
    <definedName name="___obl1831" localSheetId="28">#REF!</definedName>
    <definedName name="___obl1831" localSheetId="12">#REF!</definedName>
    <definedName name="___obl1831" localSheetId="14">#REF!</definedName>
    <definedName name="___obl1831" localSheetId="19">#REF!</definedName>
    <definedName name="___obl1831" localSheetId="30">#REF!</definedName>
    <definedName name="___obl1831" localSheetId="31">#REF!</definedName>
    <definedName name="___obl1831" localSheetId="32">#REF!</definedName>
    <definedName name="___obl1831">#REF!</definedName>
    <definedName name="___obl1832" localSheetId="11">#REF!</definedName>
    <definedName name="___obl1832" localSheetId="24">#REF!</definedName>
    <definedName name="___obl1832" localSheetId="25">#REF!</definedName>
    <definedName name="___obl1832" localSheetId="29">#REF!</definedName>
    <definedName name="___obl1832" localSheetId="27">#REF!</definedName>
    <definedName name="___obl1832" localSheetId="28">#REF!</definedName>
    <definedName name="___obl1832" localSheetId="12">#REF!</definedName>
    <definedName name="___obl1832" localSheetId="14">#REF!</definedName>
    <definedName name="___obl1832" localSheetId="19">#REF!</definedName>
    <definedName name="___obl1832" localSheetId="30">#REF!</definedName>
    <definedName name="___obl1832" localSheetId="31">#REF!</definedName>
    <definedName name="___obl1832" localSheetId="32">#REF!</definedName>
    <definedName name="___obl1832">#REF!</definedName>
    <definedName name="___obl184" localSheetId="11">#REF!</definedName>
    <definedName name="___obl184" localSheetId="24">#REF!</definedName>
    <definedName name="___obl184" localSheetId="25">#REF!</definedName>
    <definedName name="___obl184" localSheetId="29">#REF!</definedName>
    <definedName name="___obl184" localSheetId="27">#REF!</definedName>
    <definedName name="___obl184" localSheetId="28">#REF!</definedName>
    <definedName name="___obl184" localSheetId="12">#REF!</definedName>
    <definedName name="___obl184" localSheetId="14">#REF!</definedName>
    <definedName name="___obl184" localSheetId="19">#REF!</definedName>
    <definedName name="___obl184" localSheetId="30">#REF!</definedName>
    <definedName name="___obl184" localSheetId="31">#REF!</definedName>
    <definedName name="___obl184" localSheetId="32">#REF!</definedName>
    <definedName name="___obl184">#REF!</definedName>
    <definedName name="___obl185" localSheetId="11">#REF!</definedName>
    <definedName name="___obl185" localSheetId="24">#REF!</definedName>
    <definedName name="___obl185" localSheetId="25">#REF!</definedName>
    <definedName name="___obl185" localSheetId="29">#REF!</definedName>
    <definedName name="___obl185" localSheetId="27">#REF!</definedName>
    <definedName name="___obl185" localSheetId="28">#REF!</definedName>
    <definedName name="___obl185" localSheetId="12">#REF!</definedName>
    <definedName name="___obl185" localSheetId="14">#REF!</definedName>
    <definedName name="___obl185" localSheetId="19">#REF!</definedName>
    <definedName name="___obl185" localSheetId="30">#REF!</definedName>
    <definedName name="___obl185" localSheetId="31">#REF!</definedName>
    <definedName name="___obl185" localSheetId="32">#REF!</definedName>
    <definedName name="___obl185">#REF!</definedName>
    <definedName name="___obl186" localSheetId="11">#REF!</definedName>
    <definedName name="___obl186" localSheetId="24">#REF!</definedName>
    <definedName name="___obl186" localSheetId="25">#REF!</definedName>
    <definedName name="___obl186" localSheetId="29">#REF!</definedName>
    <definedName name="___obl186" localSheetId="27">#REF!</definedName>
    <definedName name="___obl186" localSheetId="28">#REF!</definedName>
    <definedName name="___obl186" localSheetId="12">#REF!</definedName>
    <definedName name="___obl186" localSheetId="14">#REF!</definedName>
    <definedName name="___obl186" localSheetId="19">#REF!</definedName>
    <definedName name="___obl186" localSheetId="30">#REF!</definedName>
    <definedName name="___obl186" localSheetId="31">#REF!</definedName>
    <definedName name="___obl186" localSheetId="32">#REF!</definedName>
    <definedName name="___obl186">#REF!</definedName>
    <definedName name="___obl187" localSheetId="11">#REF!</definedName>
    <definedName name="___obl187" localSheetId="24">#REF!</definedName>
    <definedName name="___obl187" localSheetId="25">#REF!</definedName>
    <definedName name="___obl187" localSheetId="29">#REF!</definedName>
    <definedName name="___obl187" localSheetId="27">#REF!</definedName>
    <definedName name="___obl187" localSheetId="28">#REF!</definedName>
    <definedName name="___obl187" localSheetId="12">#REF!</definedName>
    <definedName name="___obl187" localSheetId="14">#REF!</definedName>
    <definedName name="___obl187" localSheetId="19">#REF!</definedName>
    <definedName name="___obl187" localSheetId="30">#REF!</definedName>
    <definedName name="___obl187" localSheetId="31">#REF!</definedName>
    <definedName name="___obl187" localSheetId="32">#REF!</definedName>
    <definedName name="___obl187">#REF!</definedName>
    <definedName name="__obl11" localSheetId="11">#REF!</definedName>
    <definedName name="__obl11" localSheetId="23">#REF!</definedName>
    <definedName name="__obl11" localSheetId="24">#REF!</definedName>
    <definedName name="__obl11" localSheetId="22">#REF!</definedName>
    <definedName name="__obl11" localSheetId="25">#REF!</definedName>
    <definedName name="__obl11" localSheetId="29">#REF!</definedName>
    <definedName name="__obl11" localSheetId="27">#REF!</definedName>
    <definedName name="__obl11" localSheetId="28">#REF!</definedName>
    <definedName name="__obl11" localSheetId="12">#REF!</definedName>
    <definedName name="__obl11" localSheetId="14">#REF!</definedName>
    <definedName name="__obl11" localSheetId="19">#REF!</definedName>
    <definedName name="__obl11" localSheetId="30">#REF!</definedName>
    <definedName name="__obl11" localSheetId="31">#REF!</definedName>
    <definedName name="__obl11" localSheetId="32">#REF!</definedName>
    <definedName name="__obl11" localSheetId="35">#REF!</definedName>
    <definedName name="__obl11" localSheetId="34">#REF!</definedName>
    <definedName name="__obl11" localSheetId="39">#REF!</definedName>
    <definedName name="__obl11" localSheetId="40">#REF!</definedName>
    <definedName name="__obl11" localSheetId="41">#REF!</definedName>
    <definedName name="__obl11" localSheetId="42">#REF!</definedName>
    <definedName name="__obl11" localSheetId="48">#REF!</definedName>
    <definedName name="__obl11" localSheetId="49">#REF!</definedName>
    <definedName name="__obl11" localSheetId="44">#REF!</definedName>
    <definedName name="__obl11" localSheetId="45">#REF!</definedName>
    <definedName name="__obl11" localSheetId="46">#REF!</definedName>
    <definedName name="__obl11" localSheetId="47">#REF!</definedName>
    <definedName name="__obl11" localSheetId="33">#REF!</definedName>
    <definedName name="__obl11" localSheetId="43">#REF!</definedName>
    <definedName name="__obl11" localSheetId="1">#REF!</definedName>
    <definedName name="__obl11">#REF!</definedName>
    <definedName name="__obl12" localSheetId="11">#REF!</definedName>
    <definedName name="__obl12" localSheetId="23">#REF!</definedName>
    <definedName name="__obl12" localSheetId="24">#REF!</definedName>
    <definedName name="__obl12" localSheetId="22">#REF!</definedName>
    <definedName name="__obl12" localSheetId="25">#REF!</definedName>
    <definedName name="__obl12" localSheetId="29">#REF!</definedName>
    <definedName name="__obl12" localSheetId="27">#REF!</definedName>
    <definedName name="__obl12" localSheetId="28">#REF!</definedName>
    <definedName name="__obl12" localSheetId="12">#REF!</definedName>
    <definedName name="__obl12" localSheetId="14">#REF!</definedName>
    <definedName name="__obl12" localSheetId="19">#REF!</definedName>
    <definedName name="__obl12" localSheetId="30">#REF!</definedName>
    <definedName name="__obl12" localSheetId="31">#REF!</definedName>
    <definedName name="__obl12" localSheetId="32">#REF!</definedName>
    <definedName name="__obl12" localSheetId="35">#REF!</definedName>
    <definedName name="__obl12" localSheetId="34">#REF!</definedName>
    <definedName name="__obl12" localSheetId="39">#REF!</definedName>
    <definedName name="__obl12" localSheetId="40">#REF!</definedName>
    <definedName name="__obl12" localSheetId="41">#REF!</definedName>
    <definedName name="__obl12" localSheetId="42">#REF!</definedName>
    <definedName name="__obl12" localSheetId="48">#REF!</definedName>
    <definedName name="__obl12" localSheetId="49">#REF!</definedName>
    <definedName name="__obl12" localSheetId="44">#REF!</definedName>
    <definedName name="__obl12" localSheetId="45">#REF!</definedName>
    <definedName name="__obl12" localSheetId="46">#REF!</definedName>
    <definedName name="__obl12" localSheetId="47">#REF!</definedName>
    <definedName name="__obl12" localSheetId="1">#REF!</definedName>
    <definedName name="__obl12">#REF!</definedName>
    <definedName name="__obl13" localSheetId="11">#REF!</definedName>
    <definedName name="__obl13" localSheetId="23">#REF!</definedName>
    <definedName name="__obl13" localSheetId="24">#REF!</definedName>
    <definedName name="__obl13" localSheetId="22">#REF!</definedName>
    <definedName name="__obl13" localSheetId="25">#REF!</definedName>
    <definedName name="__obl13" localSheetId="29">#REF!</definedName>
    <definedName name="__obl13" localSheetId="27">#REF!</definedName>
    <definedName name="__obl13" localSheetId="28">#REF!</definedName>
    <definedName name="__obl13" localSheetId="12">#REF!</definedName>
    <definedName name="__obl13" localSheetId="14">#REF!</definedName>
    <definedName name="__obl13" localSheetId="19">#REF!</definedName>
    <definedName name="__obl13" localSheetId="30">#REF!</definedName>
    <definedName name="__obl13" localSheetId="31">#REF!</definedName>
    <definedName name="__obl13" localSheetId="32">#REF!</definedName>
    <definedName name="__obl13" localSheetId="35">#REF!</definedName>
    <definedName name="__obl13" localSheetId="34">#REF!</definedName>
    <definedName name="__obl13" localSheetId="39">#REF!</definedName>
    <definedName name="__obl13" localSheetId="40">#REF!</definedName>
    <definedName name="__obl13" localSheetId="41">#REF!</definedName>
    <definedName name="__obl13" localSheetId="42">#REF!</definedName>
    <definedName name="__obl13" localSheetId="48">#REF!</definedName>
    <definedName name="__obl13" localSheetId="49">#REF!</definedName>
    <definedName name="__obl13" localSheetId="44">#REF!</definedName>
    <definedName name="__obl13" localSheetId="45">#REF!</definedName>
    <definedName name="__obl13" localSheetId="46">#REF!</definedName>
    <definedName name="__obl13" localSheetId="47">#REF!</definedName>
    <definedName name="__obl13" localSheetId="1">#REF!</definedName>
    <definedName name="__obl13">#REF!</definedName>
    <definedName name="__obl14" localSheetId="11">#REF!</definedName>
    <definedName name="__obl14" localSheetId="23">#REF!</definedName>
    <definedName name="__obl14" localSheetId="24">#REF!</definedName>
    <definedName name="__obl14" localSheetId="22">#REF!</definedName>
    <definedName name="__obl14" localSheetId="25">#REF!</definedName>
    <definedName name="__obl14" localSheetId="29">#REF!</definedName>
    <definedName name="__obl14" localSheetId="27">#REF!</definedName>
    <definedName name="__obl14" localSheetId="28">#REF!</definedName>
    <definedName name="__obl14" localSheetId="12">#REF!</definedName>
    <definedName name="__obl14" localSheetId="14">#REF!</definedName>
    <definedName name="__obl14" localSheetId="19">#REF!</definedName>
    <definedName name="__obl14" localSheetId="30">#REF!</definedName>
    <definedName name="__obl14" localSheetId="31">#REF!</definedName>
    <definedName name="__obl14" localSheetId="32">#REF!</definedName>
    <definedName name="__obl14" localSheetId="35">#REF!</definedName>
    <definedName name="__obl14" localSheetId="34">#REF!</definedName>
    <definedName name="__obl14" localSheetId="39">#REF!</definedName>
    <definedName name="__obl14" localSheetId="40">#REF!</definedName>
    <definedName name="__obl14" localSheetId="41">#REF!</definedName>
    <definedName name="__obl14" localSheetId="42">#REF!</definedName>
    <definedName name="__obl14" localSheetId="48">#REF!</definedName>
    <definedName name="__obl14" localSheetId="49">#REF!</definedName>
    <definedName name="__obl14" localSheetId="44">#REF!</definedName>
    <definedName name="__obl14" localSheetId="45">#REF!</definedName>
    <definedName name="__obl14" localSheetId="46">#REF!</definedName>
    <definedName name="__obl14" localSheetId="47">#REF!</definedName>
    <definedName name="__obl14">#REF!</definedName>
    <definedName name="__obl15" localSheetId="11">#REF!</definedName>
    <definedName name="__obl15" localSheetId="23">#REF!</definedName>
    <definedName name="__obl15" localSheetId="24">#REF!</definedName>
    <definedName name="__obl15" localSheetId="22">#REF!</definedName>
    <definedName name="__obl15" localSheetId="25">#REF!</definedName>
    <definedName name="__obl15" localSheetId="29">#REF!</definedName>
    <definedName name="__obl15" localSheetId="27">#REF!</definedName>
    <definedName name="__obl15" localSheetId="28">#REF!</definedName>
    <definedName name="__obl15" localSheetId="12">#REF!</definedName>
    <definedName name="__obl15" localSheetId="14">#REF!</definedName>
    <definedName name="__obl15" localSheetId="19">#REF!</definedName>
    <definedName name="__obl15" localSheetId="30">#REF!</definedName>
    <definedName name="__obl15" localSheetId="31">#REF!</definedName>
    <definedName name="__obl15" localSheetId="32">#REF!</definedName>
    <definedName name="__obl15" localSheetId="35">#REF!</definedName>
    <definedName name="__obl15" localSheetId="34">#REF!</definedName>
    <definedName name="__obl15" localSheetId="39">#REF!</definedName>
    <definedName name="__obl15" localSheetId="40">#REF!</definedName>
    <definedName name="__obl15" localSheetId="41">#REF!</definedName>
    <definedName name="__obl15" localSheetId="42">#REF!</definedName>
    <definedName name="__obl15" localSheetId="48">#REF!</definedName>
    <definedName name="__obl15" localSheetId="49">#REF!</definedName>
    <definedName name="__obl15" localSheetId="44">#REF!</definedName>
    <definedName name="__obl15" localSheetId="45">#REF!</definedName>
    <definedName name="__obl15" localSheetId="46">#REF!</definedName>
    <definedName name="__obl15" localSheetId="47">#REF!</definedName>
    <definedName name="__obl15">#REF!</definedName>
    <definedName name="__obl16" localSheetId="11">#REF!</definedName>
    <definedName name="__obl16" localSheetId="23">#REF!</definedName>
    <definedName name="__obl16" localSheetId="24">#REF!</definedName>
    <definedName name="__obl16" localSheetId="22">#REF!</definedName>
    <definedName name="__obl16" localSheetId="25">#REF!</definedName>
    <definedName name="__obl16" localSheetId="29">#REF!</definedName>
    <definedName name="__obl16" localSheetId="27">#REF!</definedName>
    <definedName name="__obl16" localSheetId="28">#REF!</definedName>
    <definedName name="__obl16" localSheetId="12">#REF!</definedName>
    <definedName name="__obl16" localSheetId="14">#REF!</definedName>
    <definedName name="__obl16" localSheetId="19">#REF!</definedName>
    <definedName name="__obl16" localSheetId="30">#REF!</definedName>
    <definedName name="__obl16" localSheetId="31">#REF!</definedName>
    <definedName name="__obl16" localSheetId="32">#REF!</definedName>
    <definedName name="__obl16" localSheetId="35">#REF!</definedName>
    <definedName name="__obl16" localSheetId="34">#REF!</definedName>
    <definedName name="__obl16" localSheetId="39">#REF!</definedName>
    <definedName name="__obl16" localSheetId="40">#REF!</definedName>
    <definedName name="__obl16" localSheetId="41">#REF!</definedName>
    <definedName name="__obl16" localSheetId="42">#REF!</definedName>
    <definedName name="__obl16" localSheetId="48">#REF!</definedName>
    <definedName name="__obl16" localSheetId="49">#REF!</definedName>
    <definedName name="__obl16" localSheetId="44">#REF!</definedName>
    <definedName name="__obl16" localSheetId="45">#REF!</definedName>
    <definedName name="__obl16" localSheetId="46">#REF!</definedName>
    <definedName name="__obl16" localSheetId="47">#REF!</definedName>
    <definedName name="__obl16">#REF!</definedName>
    <definedName name="__obl17" localSheetId="11">#REF!</definedName>
    <definedName name="__obl17" localSheetId="23">#REF!</definedName>
    <definedName name="__obl17" localSheetId="24">#REF!</definedName>
    <definedName name="__obl17" localSheetId="22">#REF!</definedName>
    <definedName name="__obl17" localSheetId="25">#REF!</definedName>
    <definedName name="__obl17" localSheetId="29">#REF!</definedName>
    <definedName name="__obl17" localSheetId="27">#REF!</definedName>
    <definedName name="__obl17" localSheetId="28">#REF!</definedName>
    <definedName name="__obl17" localSheetId="12">#REF!</definedName>
    <definedName name="__obl17" localSheetId="14">#REF!</definedName>
    <definedName name="__obl17" localSheetId="19">#REF!</definedName>
    <definedName name="__obl17" localSheetId="30">#REF!</definedName>
    <definedName name="__obl17" localSheetId="31">#REF!</definedName>
    <definedName name="__obl17" localSheetId="32">#REF!</definedName>
    <definedName name="__obl17" localSheetId="35">#REF!</definedName>
    <definedName name="__obl17" localSheetId="34">#REF!</definedName>
    <definedName name="__obl17" localSheetId="39">#REF!</definedName>
    <definedName name="__obl17" localSheetId="40">#REF!</definedName>
    <definedName name="__obl17" localSheetId="41">#REF!</definedName>
    <definedName name="__obl17" localSheetId="42">#REF!</definedName>
    <definedName name="__obl17" localSheetId="48">#REF!</definedName>
    <definedName name="__obl17" localSheetId="49">#REF!</definedName>
    <definedName name="__obl17" localSheetId="44">#REF!</definedName>
    <definedName name="__obl17" localSheetId="45">#REF!</definedName>
    <definedName name="__obl17" localSheetId="46">#REF!</definedName>
    <definedName name="__obl17" localSheetId="47">#REF!</definedName>
    <definedName name="__obl17">#REF!</definedName>
    <definedName name="__obl1710" localSheetId="11">#REF!</definedName>
    <definedName name="__obl1710" localSheetId="23">#REF!</definedName>
    <definedName name="__obl1710" localSheetId="24">#REF!</definedName>
    <definedName name="__obl1710" localSheetId="22">#REF!</definedName>
    <definedName name="__obl1710" localSheetId="25">#REF!</definedName>
    <definedName name="__obl1710" localSheetId="29">#REF!</definedName>
    <definedName name="__obl1710" localSheetId="27">#REF!</definedName>
    <definedName name="__obl1710" localSheetId="28">#REF!</definedName>
    <definedName name="__obl1710" localSheetId="12">#REF!</definedName>
    <definedName name="__obl1710" localSheetId="14">#REF!</definedName>
    <definedName name="__obl1710" localSheetId="19">#REF!</definedName>
    <definedName name="__obl1710" localSheetId="30">#REF!</definedName>
    <definedName name="__obl1710" localSheetId="31">#REF!</definedName>
    <definedName name="__obl1710" localSheetId="32">#REF!</definedName>
    <definedName name="__obl1710" localSheetId="35">#REF!</definedName>
    <definedName name="__obl1710" localSheetId="34">#REF!</definedName>
    <definedName name="__obl1710" localSheetId="39">#REF!</definedName>
    <definedName name="__obl1710" localSheetId="40">#REF!</definedName>
    <definedName name="__obl1710" localSheetId="41">#REF!</definedName>
    <definedName name="__obl1710" localSheetId="42">#REF!</definedName>
    <definedName name="__obl1710" localSheetId="48">#REF!</definedName>
    <definedName name="__obl1710" localSheetId="49">#REF!</definedName>
    <definedName name="__obl1710" localSheetId="44">#REF!</definedName>
    <definedName name="__obl1710" localSheetId="45">#REF!</definedName>
    <definedName name="__obl1710" localSheetId="46">#REF!</definedName>
    <definedName name="__obl1710" localSheetId="47">#REF!</definedName>
    <definedName name="__obl1710">#REF!</definedName>
    <definedName name="__obl1711" localSheetId="11">#REF!</definedName>
    <definedName name="__obl1711" localSheetId="23">#REF!</definedName>
    <definedName name="__obl1711" localSheetId="24">#REF!</definedName>
    <definedName name="__obl1711" localSheetId="22">#REF!</definedName>
    <definedName name="__obl1711" localSheetId="25">#REF!</definedName>
    <definedName name="__obl1711" localSheetId="29">#REF!</definedName>
    <definedName name="__obl1711" localSheetId="27">#REF!</definedName>
    <definedName name="__obl1711" localSheetId="28">#REF!</definedName>
    <definedName name="__obl1711" localSheetId="12">#REF!</definedName>
    <definedName name="__obl1711" localSheetId="14">#REF!</definedName>
    <definedName name="__obl1711" localSheetId="19">#REF!</definedName>
    <definedName name="__obl1711" localSheetId="30">#REF!</definedName>
    <definedName name="__obl1711" localSheetId="31">#REF!</definedName>
    <definedName name="__obl1711" localSheetId="32">#REF!</definedName>
    <definedName name="__obl1711" localSheetId="35">#REF!</definedName>
    <definedName name="__obl1711" localSheetId="34">#REF!</definedName>
    <definedName name="__obl1711" localSheetId="39">#REF!</definedName>
    <definedName name="__obl1711" localSheetId="40">#REF!</definedName>
    <definedName name="__obl1711" localSheetId="41">#REF!</definedName>
    <definedName name="__obl1711" localSheetId="42">#REF!</definedName>
    <definedName name="__obl1711" localSheetId="48">#REF!</definedName>
    <definedName name="__obl1711" localSheetId="49">#REF!</definedName>
    <definedName name="__obl1711" localSheetId="44">#REF!</definedName>
    <definedName name="__obl1711" localSheetId="45">#REF!</definedName>
    <definedName name="__obl1711" localSheetId="46">#REF!</definedName>
    <definedName name="__obl1711" localSheetId="47">#REF!</definedName>
    <definedName name="__obl1711">#REF!</definedName>
    <definedName name="__obl1712" localSheetId="11">#REF!</definedName>
    <definedName name="__obl1712" localSheetId="23">#REF!</definedName>
    <definedName name="__obl1712" localSheetId="24">#REF!</definedName>
    <definedName name="__obl1712" localSheetId="22">#REF!</definedName>
    <definedName name="__obl1712" localSheetId="25">#REF!</definedName>
    <definedName name="__obl1712" localSheetId="29">#REF!</definedName>
    <definedName name="__obl1712" localSheetId="27">#REF!</definedName>
    <definedName name="__obl1712" localSheetId="28">#REF!</definedName>
    <definedName name="__obl1712" localSheetId="12">#REF!</definedName>
    <definedName name="__obl1712" localSheetId="14">#REF!</definedName>
    <definedName name="__obl1712" localSheetId="19">#REF!</definedName>
    <definedName name="__obl1712" localSheetId="30">#REF!</definedName>
    <definedName name="__obl1712" localSheetId="31">#REF!</definedName>
    <definedName name="__obl1712" localSheetId="32">#REF!</definedName>
    <definedName name="__obl1712" localSheetId="35">#REF!</definedName>
    <definedName name="__obl1712" localSheetId="34">#REF!</definedName>
    <definedName name="__obl1712" localSheetId="39">#REF!</definedName>
    <definedName name="__obl1712" localSheetId="40">#REF!</definedName>
    <definedName name="__obl1712" localSheetId="41">#REF!</definedName>
    <definedName name="__obl1712" localSheetId="42">#REF!</definedName>
    <definedName name="__obl1712" localSheetId="48">#REF!</definedName>
    <definedName name="__obl1712" localSheetId="49">#REF!</definedName>
    <definedName name="__obl1712" localSheetId="44">#REF!</definedName>
    <definedName name="__obl1712" localSheetId="45">#REF!</definedName>
    <definedName name="__obl1712" localSheetId="46">#REF!</definedName>
    <definedName name="__obl1712" localSheetId="47">#REF!</definedName>
    <definedName name="__obl1712">#REF!</definedName>
    <definedName name="__obl1713" localSheetId="11">#REF!</definedName>
    <definedName name="__obl1713" localSheetId="23">#REF!</definedName>
    <definedName name="__obl1713" localSheetId="24">#REF!</definedName>
    <definedName name="__obl1713" localSheetId="22">#REF!</definedName>
    <definedName name="__obl1713" localSheetId="25">#REF!</definedName>
    <definedName name="__obl1713" localSheetId="29">#REF!</definedName>
    <definedName name="__obl1713" localSheetId="27">#REF!</definedName>
    <definedName name="__obl1713" localSheetId="28">#REF!</definedName>
    <definedName name="__obl1713" localSheetId="12">#REF!</definedName>
    <definedName name="__obl1713" localSheetId="14">#REF!</definedName>
    <definedName name="__obl1713" localSheetId="19">#REF!</definedName>
    <definedName name="__obl1713" localSheetId="30">#REF!</definedName>
    <definedName name="__obl1713" localSheetId="31">#REF!</definedName>
    <definedName name="__obl1713" localSheetId="32">#REF!</definedName>
    <definedName name="__obl1713" localSheetId="35">#REF!</definedName>
    <definedName name="__obl1713" localSheetId="34">#REF!</definedName>
    <definedName name="__obl1713" localSheetId="39">#REF!</definedName>
    <definedName name="__obl1713" localSheetId="40">#REF!</definedName>
    <definedName name="__obl1713" localSheetId="41">#REF!</definedName>
    <definedName name="__obl1713" localSheetId="42">#REF!</definedName>
    <definedName name="__obl1713" localSheetId="48">#REF!</definedName>
    <definedName name="__obl1713" localSheetId="49">#REF!</definedName>
    <definedName name="__obl1713" localSheetId="44">#REF!</definedName>
    <definedName name="__obl1713" localSheetId="45">#REF!</definedName>
    <definedName name="__obl1713" localSheetId="46">#REF!</definedName>
    <definedName name="__obl1713" localSheetId="47">#REF!</definedName>
    <definedName name="__obl1713">#REF!</definedName>
    <definedName name="__obl1714" localSheetId="11">#REF!</definedName>
    <definedName name="__obl1714" localSheetId="23">#REF!</definedName>
    <definedName name="__obl1714" localSheetId="24">#REF!</definedName>
    <definedName name="__obl1714" localSheetId="22">#REF!</definedName>
    <definedName name="__obl1714" localSheetId="25">#REF!</definedName>
    <definedName name="__obl1714" localSheetId="29">#REF!</definedName>
    <definedName name="__obl1714" localSheetId="27">#REF!</definedName>
    <definedName name="__obl1714" localSheetId="28">#REF!</definedName>
    <definedName name="__obl1714" localSheetId="12">#REF!</definedName>
    <definedName name="__obl1714" localSheetId="14">#REF!</definedName>
    <definedName name="__obl1714" localSheetId="19">#REF!</definedName>
    <definedName name="__obl1714" localSheetId="30">#REF!</definedName>
    <definedName name="__obl1714" localSheetId="31">#REF!</definedName>
    <definedName name="__obl1714" localSheetId="32">#REF!</definedName>
    <definedName name="__obl1714" localSheetId="35">#REF!</definedName>
    <definedName name="__obl1714" localSheetId="34">#REF!</definedName>
    <definedName name="__obl1714" localSheetId="39">#REF!</definedName>
    <definedName name="__obl1714" localSheetId="40">#REF!</definedName>
    <definedName name="__obl1714" localSheetId="41">#REF!</definedName>
    <definedName name="__obl1714" localSheetId="42">#REF!</definedName>
    <definedName name="__obl1714" localSheetId="48">#REF!</definedName>
    <definedName name="__obl1714" localSheetId="49">#REF!</definedName>
    <definedName name="__obl1714" localSheetId="44">#REF!</definedName>
    <definedName name="__obl1714" localSheetId="45">#REF!</definedName>
    <definedName name="__obl1714" localSheetId="46">#REF!</definedName>
    <definedName name="__obl1714" localSheetId="47">#REF!</definedName>
    <definedName name="__obl1714">#REF!</definedName>
    <definedName name="__obl1715" localSheetId="11">#REF!</definedName>
    <definedName name="__obl1715" localSheetId="23">#REF!</definedName>
    <definedName name="__obl1715" localSheetId="24">#REF!</definedName>
    <definedName name="__obl1715" localSheetId="22">#REF!</definedName>
    <definedName name="__obl1715" localSheetId="25">#REF!</definedName>
    <definedName name="__obl1715" localSheetId="29">#REF!</definedName>
    <definedName name="__obl1715" localSheetId="27">#REF!</definedName>
    <definedName name="__obl1715" localSheetId="28">#REF!</definedName>
    <definedName name="__obl1715" localSheetId="12">#REF!</definedName>
    <definedName name="__obl1715" localSheetId="14">#REF!</definedName>
    <definedName name="__obl1715" localSheetId="19">#REF!</definedName>
    <definedName name="__obl1715" localSheetId="30">#REF!</definedName>
    <definedName name="__obl1715" localSheetId="31">#REF!</definedName>
    <definedName name="__obl1715" localSheetId="32">#REF!</definedName>
    <definedName name="__obl1715" localSheetId="35">#REF!</definedName>
    <definedName name="__obl1715" localSheetId="34">#REF!</definedName>
    <definedName name="__obl1715" localSheetId="39">#REF!</definedName>
    <definedName name="__obl1715" localSheetId="40">#REF!</definedName>
    <definedName name="__obl1715" localSheetId="41">#REF!</definedName>
    <definedName name="__obl1715" localSheetId="42">#REF!</definedName>
    <definedName name="__obl1715" localSheetId="48">#REF!</definedName>
    <definedName name="__obl1715" localSheetId="49">#REF!</definedName>
    <definedName name="__obl1715" localSheetId="44">#REF!</definedName>
    <definedName name="__obl1715" localSheetId="45">#REF!</definedName>
    <definedName name="__obl1715" localSheetId="46">#REF!</definedName>
    <definedName name="__obl1715" localSheetId="47">#REF!</definedName>
    <definedName name="__obl1715">#REF!</definedName>
    <definedName name="__obl1716" localSheetId="11">#REF!</definedName>
    <definedName name="__obl1716" localSheetId="23">#REF!</definedName>
    <definedName name="__obl1716" localSheetId="24">#REF!</definedName>
    <definedName name="__obl1716" localSheetId="22">#REF!</definedName>
    <definedName name="__obl1716" localSheetId="25">#REF!</definedName>
    <definedName name="__obl1716" localSheetId="29">#REF!</definedName>
    <definedName name="__obl1716" localSheetId="27">#REF!</definedName>
    <definedName name="__obl1716" localSheetId="28">#REF!</definedName>
    <definedName name="__obl1716" localSheetId="12">#REF!</definedName>
    <definedName name="__obl1716" localSheetId="14">#REF!</definedName>
    <definedName name="__obl1716" localSheetId="19">#REF!</definedName>
    <definedName name="__obl1716" localSheetId="30">#REF!</definedName>
    <definedName name="__obl1716" localSheetId="31">#REF!</definedName>
    <definedName name="__obl1716" localSheetId="32">#REF!</definedName>
    <definedName name="__obl1716" localSheetId="35">#REF!</definedName>
    <definedName name="__obl1716" localSheetId="34">#REF!</definedName>
    <definedName name="__obl1716" localSheetId="39">#REF!</definedName>
    <definedName name="__obl1716" localSheetId="40">#REF!</definedName>
    <definedName name="__obl1716" localSheetId="41">#REF!</definedName>
    <definedName name="__obl1716" localSheetId="42">#REF!</definedName>
    <definedName name="__obl1716" localSheetId="48">#REF!</definedName>
    <definedName name="__obl1716" localSheetId="49">#REF!</definedName>
    <definedName name="__obl1716" localSheetId="44">#REF!</definedName>
    <definedName name="__obl1716" localSheetId="45">#REF!</definedName>
    <definedName name="__obl1716" localSheetId="46">#REF!</definedName>
    <definedName name="__obl1716" localSheetId="47">#REF!</definedName>
    <definedName name="__obl1716">#REF!</definedName>
    <definedName name="__obl1717" localSheetId="11">#REF!</definedName>
    <definedName name="__obl1717" localSheetId="23">#REF!</definedName>
    <definedName name="__obl1717" localSheetId="24">#REF!</definedName>
    <definedName name="__obl1717" localSheetId="22">#REF!</definedName>
    <definedName name="__obl1717" localSheetId="25">#REF!</definedName>
    <definedName name="__obl1717" localSheetId="29">#REF!</definedName>
    <definedName name="__obl1717" localSheetId="27">#REF!</definedName>
    <definedName name="__obl1717" localSheetId="28">#REF!</definedName>
    <definedName name="__obl1717" localSheetId="12">#REF!</definedName>
    <definedName name="__obl1717" localSheetId="14">#REF!</definedName>
    <definedName name="__obl1717" localSheetId="19">#REF!</definedName>
    <definedName name="__obl1717" localSheetId="30">#REF!</definedName>
    <definedName name="__obl1717" localSheetId="31">#REF!</definedName>
    <definedName name="__obl1717" localSheetId="32">#REF!</definedName>
    <definedName name="__obl1717" localSheetId="35">#REF!</definedName>
    <definedName name="__obl1717" localSheetId="34">#REF!</definedName>
    <definedName name="__obl1717" localSheetId="39">#REF!</definedName>
    <definedName name="__obl1717" localSheetId="40">#REF!</definedName>
    <definedName name="__obl1717" localSheetId="41">#REF!</definedName>
    <definedName name="__obl1717" localSheetId="42">#REF!</definedName>
    <definedName name="__obl1717" localSheetId="48">#REF!</definedName>
    <definedName name="__obl1717" localSheetId="49">#REF!</definedName>
    <definedName name="__obl1717" localSheetId="44">#REF!</definedName>
    <definedName name="__obl1717" localSheetId="45">#REF!</definedName>
    <definedName name="__obl1717" localSheetId="46">#REF!</definedName>
    <definedName name="__obl1717" localSheetId="47">#REF!</definedName>
    <definedName name="__obl1717">#REF!</definedName>
    <definedName name="__obl1718" localSheetId="11">#REF!</definedName>
    <definedName name="__obl1718" localSheetId="23">#REF!</definedName>
    <definedName name="__obl1718" localSheetId="24">#REF!</definedName>
    <definedName name="__obl1718" localSheetId="22">#REF!</definedName>
    <definedName name="__obl1718" localSheetId="25">#REF!</definedName>
    <definedName name="__obl1718" localSheetId="29">#REF!</definedName>
    <definedName name="__obl1718" localSheetId="27">#REF!</definedName>
    <definedName name="__obl1718" localSheetId="28">#REF!</definedName>
    <definedName name="__obl1718" localSheetId="12">#REF!</definedName>
    <definedName name="__obl1718" localSheetId="14">#REF!</definedName>
    <definedName name="__obl1718" localSheetId="19">#REF!</definedName>
    <definedName name="__obl1718" localSheetId="30">#REF!</definedName>
    <definedName name="__obl1718" localSheetId="31">#REF!</definedName>
    <definedName name="__obl1718" localSheetId="32">#REF!</definedName>
    <definedName name="__obl1718" localSheetId="35">#REF!</definedName>
    <definedName name="__obl1718" localSheetId="34">#REF!</definedName>
    <definedName name="__obl1718" localSheetId="39">#REF!</definedName>
    <definedName name="__obl1718" localSheetId="40">#REF!</definedName>
    <definedName name="__obl1718" localSheetId="41">#REF!</definedName>
    <definedName name="__obl1718" localSheetId="42">#REF!</definedName>
    <definedName name="__obl1718" localSheetId="48">#REF!</definedName>
    <definedName name="__obl1718" localSheetId="49">#REF!</definedName>
    <definedName name="__obl1718" localSheetId="44">#REF!</definedName>
    <definedName name="__obl1718" localSheetId="45">#REF!</definedName>
    <definedName name="__obl1718" localSheetId="46">#REF!</definedName>
    <definedName name="__obl1718" localSheetId="47">#REF!</definedName>
    <definedName name="__obl1718">#REF!</definedName>
    <definedName name="__obl1719" localSheetId="11">#REF!</definedName>
    <definedName name="__obl1719" localSheetId="23">#REF!</definedName>
    <definedName name="__obl1719" localSheetId="24">#REF!</definedName>
    <definedName name="__obl1719" localSheetId="22">#REF!</definedName>
    <definedName name="__obl1719" localSheetId="25">#REF!</definedName>
    <definedName name="__obl1719" localSheetId="29">#REF!</definedName>
    <definedName name="__obl1719" localSheetId="27">#REF!</definedName>
    <definedName name="__obl1719" localSheetId="28">#REF!</definedName>
    <definedName name="__obl1719" localSheetId="12">#REF!</definedName>
    <definedName name="__obl1719" localSheetId="14">#REF!</definedName>
    <definedName name="__obl1719" localSheetId="19">#REF!</definedName>
    <definedName name="__obl1719" localSheetId="30">#REF!</definedName>
    <definedName name="__obl1719" localSheetId="31">#REF!</definedName>
    <definedName name="__obl1719" localSheetId="32">#REF!</definedName>
    <definedName name="__obl1719" localSheetId="35">#REF!</definedName>
    <definedName name="__obl1719" localSheetId="34">#REF!</definedName>
    <definedName name="__obl1719" localSheetId="39">#REF!</definedName>
    <definedName name="__obl1719" localSheetId="40">#REF!</definedName>
    <definedName name="__obl1719" localSheetId="41">#REF!</definedName>
    <definedName name="__obl1719" localSheetId="42">#REF!</definedName>
    <definedName name="__obl1719" localSheetId="48">#REF!</definedName>
    <definedName name="__obl1719" localSheetId="49">#REF!</definedName>
    <definedName name="__obl1719" localSheetId="44">#REF!</definedName>
    <definedName name="__obl1719" localSheetId="45">#REF!</definedName>
    <definedName name="__obl1719" localSheetId="46">#REF!</definedName>
    <definedName name="__obl1719" localSheetId="47">#REF!</definedName>
    <definedName name="__obl1719">#REF!</definedName>
    <definedName name="__obl173" localSheetId="11">#REF!</definedName>
    <definedName name="__obl173" localSheetId="23">#REF!</definedName>
    <definedName name="__obl173" localSheetId="24">#REF!</definedName>
    <definedName name="__obl173" localSheetId="22">#REF!</definedName>
    <definedName name="__obl173" localSheetId="25">#REF!</definedName>
    <definedName name="__obl173" localSheetId="29">#REF!</definedName>
    <definedName name="__obl173" localSheetId="27">#REF!</definedName>
    <definedName name="__obl173" localSheetId="28">#REF!</definedName>
    <definedName name="__obl173" localSheetId="12">#REF!</definedName>
    <definedName name="__obl173" localSheetId="14">#REF!</definedName>
    <definedName name="__obl173" localSheetId="19">#REF!</definedName>
    <definedName name="__obl173" localSheetId="30">#REF!</definedName>
    <definedName name="__obl173" localSheetId="31">#REF!</definedName>
    <definedName name="__obl173" localSheetId="32">#REF!</definedName>
    <definedName name="__obl173" localSheetId="35">#REF!</definedName>
    <definedName name="__obl173" localSheetId="34">#REF!</definedName>
    <definedName name="__obl173" localSheetId="39">#REF!</definedName>
    <definedName name="__obl173" localSheetId="40">#REF!</definedName>
    <definedName name="__obl173" localSheetId="41">#REF!</definedName>
    <definedName name="__obl173" localSheetId="42">#REF!</definedName>
    <definedName name="__obl173" localSheetId="48">#REF!</definedName>
    <definedName name="__obl173" localSheetId="49">#REF!</definedName>
    <definedName name="__obl173" localSheetId="44">#REF!</definedName>
    <definedName name="__obl173" localSheetId="45">#REF!</definedName>
    <definedName name="__obl173" localSheetId="46">#REF!</definedName>
    <definedName name="__obl173" localSheetId="47">#REF!</definedName>
    <definedName name="__obl173">#REF!</definedName>
    <definedName name="__obl174" localSheetId="11">#REF!</definedName>
    <definedName name="__obl174" localSheetId="23">#REF!</definedName>
    <definedName name="__obl174" localSheetId="24">#REF!</definedName>
    <definedName name="__obl174" localSheetId="22">#REF!</definedName>
    <definedName name="__obl174" localSheetId="25">#REF!</definedName>
    <definedName name="__obl174" localSheetId="29">#REF!</definedName>
    <definedName name="__obl174" localSheetId="27">#REF!</definedName>
    <definedName name="__obl174" localSheetId="28">#REF!</definedName>
    <definedName name="__obl174" localSheetId="12">#REF!</definedName>
    <definedName name="__obl174" localSheetId="14">#REF!</definedName>
    <definedName name="__obl174" localSheetId="19">#REF!</definedName>
    <definedName name="__obl174" localSheetId="30">#REF!</definedName>
    <definedName name="__obl174" localSheetId="31">#REF!</definedName>
    <definedName name="__obl174" localSheetId="32">#REF!</definedName>
    <definedName name="__obl174" localSheetId="35">#REF!</definedName>
    <definedName name="__obl174" localSheetId="34">#REF!</definedName>
    <definedName name="__obl174" localSheetId="39">#REF!</definedName>
    <definedName name="__obl174" localSheetId="40">#REF!</definedName>
    <definedName name="__obl174" localSheetId="41">#REF!</definedName>
    <definedName name="__obl174" localSheetId="42">#REF!</definedName>
    <definedName name="__obl174" localSheetId="48">#REF!</definedName>
    <definedName name="__obl174" localSheetId="49">#REF!</definedName>
    <definedName name="__obl174" localSheetId="44">#REF!</definedName>
    <definedName name="__obl174" localSheetId="45">#REF!</definedName>
    <definedName name="__obl174" localSheetId="46">#REF!</definedName>
    <definedName name="__obl174" localSheetId="47">#REF!</definedName>
    <definedName name="__obl174">#REF!</definedName>
    <definedName name="__obl175" localSheetId="11">#REF!</definedName>
    <definedName name="__obl175" localSheetId="23">#REF!</definedName>
    <definedName name="__obl175" localSheetId="24">#REF!</definedName>
    <definedName name="__obl175" localSheetId="22">#REF!</definedName>
    <definedName name="__obl175" localSheetId="25">#REF!</definedName>
    <definedName name="__obl175" localSheetId="29">#REF!</definedName>
    <definedName name="__obl175" localSheetId="27">#REF!</definedName>
    <definedName name="__obl175" localSheetId="28">#REF!</definedName>
    <definedName name="__obl175" localSheetId="12">#REF!</definedName>
    <definedName name="__obl175" localSheetId="14">#REF!</definedName>
    <definedName name="__obl175" localSheetId="19">#REF!</definedName>
    <definedName name="__obl175" localSheetId="30">#REF!</definedName>
    <definedName name="__obl175" localSheetId="31">#REF!</definedName>
    <definedName name="__obl175" localSheetId="32">#REF!</definedName>
    <definedName name="__obl175" localSheetId="35">#REF!</definedName>
    <definedName name="__obl175" localSheetId="34">#REF!</definedName>
    <definedName name="__obl175" localSheetId="39">#REF!</definedName>
    <definedName name="__obl175" localSheetId="40">#REF!</definedName>
    <definedName name="__obl175" localSheetId="41">#REF!</definedName>
    <definedName name="__obl175" localSheetId="42">#REF!</definedName>
    <definedName name="__obl175" localSheetId="48">#REF!</definedName>
    <definedName name="__obl175" localSheetId="49">#REF!</definedName>
    <definedName name="__obl175" localSheetId="44">#REF!</definedName>
    <definedName name="__obl175" localSheetId="45">#REF!</definedName>
    <definedName name="__obl175" localSheetId="46">#REF!</definedName>
    <definedName name="__obl175" localSheetId="47">#REF!</definedName>
    <definedName name="__obl175">#REF!</definedName>
    <definedName name="__obl176" localSheetId="11">#REF!</definedName>
    <definedName name="__obl176" localSheetId="23">#REF!</definedName>
    <definedName name="__obl176" localSheetId="24">#REF!</definedName>
    <definedName name="__obl176" localSheetId="22">#REF!</definedName>
    <definedName name="__obl176" localSheetId="25">#REF!</definedName>
    <definedName name="__obl176" localSheetId="29">#REF!</definedName>
    <definedName name="__obl176" localSheetId="27">#REF!</definedName>
    <definedName name="__obl176" localSheetId="28">#REF!</definedName>
    <definedName name="__obl176" localSheetId="12">#REF!</definedName>
    <definedName name="__obl176" localSheetId="14">#REF!</definedName>
    <definedName name="__obl176" localSheetId="19">#REF!</definedName>
    <definedName name="__obl176" localSheetId="30">#REF!</definedName>
    <definedName name="__obl176" localSheetId="31">#REF!</definedName>
    <definedName name="__obl176" localSheetId="32">#REF!</definedName>
    <definedName name="__obl176" localSheetId="35">#REF!</definedName>
    <definedName name="__obl176" localSheetId="34">#REF!</definedName>
    <definedName name="__obl176" localSheetId="39">#REF!</definedName>
    <definedName name="__obl176" localSheetId="40">#REF!</definedName>
    <definedName name="__obl176" localSheetId="41">#REF!</definedName>
    <definedName name="__obl176" localSheetId="42">#REF!</definedName>
    <definedName name="__obl176" localSheetId="48">#REF!</definedName>
    <definedName name="__obl176" localSheetId="49">#REF!</definedName>
    <definedName name="__obl176" localSheetId="44">#REF!</definedName>
    <definedName name="__obl176" localSheetId="45">#REF!</definedName>
    <definedName name="__obl176" localSheetId="46">#REF!</definedName>
    <definedName name="__obl176" localSheetId="47">#REF!</definedName>
    <definedName name="__obl176">#REF!</definedName>
    <definedName name="__obl177" localSheetId="11">#REF!</definedName>
    <definedName name="__obl177" localSheetId="23">#REF!</definedName>
    <definedName name="__obl177" localSheetId="24">#REF!</definedName>
    <definedName name="__obl177" localSheetId="22">#REF!</definedName>
    <definedName name="__obl177" localSheetId="25">#REF!</definedName>
    <definedName name="__obl177" localSheetId="29">#REF!</definedName>
    <definedName name="__obl177" localSheetId="27">#REF!</definedName>
    <definedName name="__obl177" localSheetId="28">#REF!</definedName>
    <definedName name="__obl177" localSheetId="12">#REF!</definedName>
    <definedName name="__obl177" localSheetId="14">#REF!</definedName>
    <definedName name="__obl177" localSheetId="19">#REF!</definedName>
    <definedName name="__obl177" localSheetId="30">#REF!</definedName>
    <definedName name="__obl177" localSheetId="31">#REF!</definedName>
    <definedName name="__obl177" localSheetId="32">#REF!</definedName>
    <definedName name="__obl177" localSheetId="35">#REF!</definedName>
    <definedName name="__obl177" localSheetId="34">#REF!</definedName>
    <definedName name="__obl177" localSheetId="39">#REF!</definedName>
    <definedName name="__obl177" localSheetId="40">#REF!</definedName>
    <definedName name="__obl177" localSheetId="41">#REF!</definedName>
    <definedName name="__obl177" localSheetId="42">#REF!</definedName>
    <definedName name="__obl177" localSheetId="48">#REF!</definedName>
    <definedName name="__obl177" localSheetId="49">#REF!</definedName>
    <definedName name="__obl177" localSheetId="44">#REF!</definedName>
    <definedName name="__obl177" localSheetId="45">#REF!</definedName>
    <definedName name="__obl177" localSheetId="46">#REF!</definedName>
    <definedName name="__obl177" localSheetId="47">#REF!</definedName>
    <definedName name="__obl177">#REF!</definedName>
    <definedName name="__obl178" localSheetId="11">#REF!</definedName>
    <definedName name="__obl178" localSheetId="23">#REF!</definedName>
    <definedName name="__obl178" localSheetId="24">#REF!</definedName>
    <definedName name="__obl178" localSheetId="22">#REF!</definedName>
    <definedName name="__obl178" localSheetId="25">#REF!</definedName>
    <definedName name="__obl178" localSheetId="29">#REF!</definedName>
    <definedName name="__obl178" localSheetId="27">#REF!</definedName>
    <definedName name="__obl178" localSheetId="28">#REF!</definedName>
    <definedName name="__obl178" localSheetId="12">#REF!</definedName>
    <definedName name="__obl178" localSheetId="14">#REF!</definedName>
    <definedName name="__obl178" localSheetId="19">#REF!</definedName>
    <definedName name="__obl178" localSheetId="30">#REF!</definedName>
    <definedName name="__obl178" localSheetId="31">#REF!</definedName>
    <definedName name="__obl178" localSheetId="32">#REF!</definedName>
    <definedName name="__obl178" localSheetId="35">#REF!</definedName>
    <definedName name="__obl178" localSheetId="34">#REF!</definedName>
    <definedName name="__obl178" localSheetId="39">#REF!</definedName>
    <definedName name="__obl178" localSheetId="40">#REF!</definedName>
    <definedName name="__obl178" localSheetId="41">#REF!</definedName>
    <definedName name="__obl178" localSheetId="42">#REF!</definedName>
    <definedName name="__obl178" localSheetId="48">#REF!</definedName>
    <definedName name="__obl178" localSheetId="49">#REF!</definedName>
    <definedName name="__obl178" localSheetId="44">#REF!</definedName>
    <definedName name="__obl178" localSheetId="45">#REF!</definedName>
    <definedName name="__obl178" localSheetId="46">#REF!</definedName>
    <definedName name="__obl178" localSheetId="47">#REF!</definedName>
    <definedName name="__obl178">#REF!</definedName>
    <definedName name="__obl179" localSheetId="11">#REF!</definedName>
    <definedName name="__obl179" localSheetId="23">#REF!</definedName>
    <definedName name="__obl179" localSheetId="24">#REF!</definedName>
    <definedName name="__obl179" localSheetId="22">#REF!</definedName>
    <definedName name="__obl179" localSheetId="25">#REF!</definedName>
    <definedName name="__obl179" localSheetId="29">#REF!</definedName>
    <definedName name="__obl179" localSheetId="27">#REF!</definedName>
    <definedName name="__obl179" localSheetId="28">#REF!</definedName>
    <definedName name="__obl179" localSheetId="12">#REF!</definedName>
    <definedName name="__obl179" localSheetId="14">#REF!</definedName>
    <definedName name="__obl179" localSheetId="19">#REF!</definedName>
    <definedName name="__obl179" localSheetId="30">#REF!</definedName>
    <definedName name="__obl179" localSheetId="31">#REF!</definedName>
    <definedName name="__obl179" localSheetId="32">#REF!</definedName>
    <definedName name="__obl179" localSheetId="35">#REF!</definedName>
    <definedName name="__obl179" localSheetId="34">#REF!</definedName>
    <definedName name="__obl179" localSheetId="39">#REF!</definedName>
    <definedName name="__obl179" localSheetId="40">#REF!</definedName>
    <definedName name="__obl179" localSheetId="41">#REF!</definedName>
    <definedName name="__obl179" localSheetId="42">#REF!</definedName>
    <definedName name="__obl179" localSheetId="48">#REF!</definedName>
    <definedName name="__obl179" localSheetId="49">#REF!</definedName>
    <definedName name="__obl179" localSheetId="44">#REF!</definedName>
    <definedName name="__obl179" localSheetId="45">#REF!</definedName>
    <definedName name="__obl179" localSheetId="46">#REF!</definedName>
    <definedName name="__obl179" localSheetId="47">#REF!</definedName>
    <definedName name="__obl179">#REF!</definedName>
    <definedName name="__obl18" localSheetId="11">#REF!</definedName>
    <definedName name="__obl18" localSheetId="23">#REF!</definedName>
    <definedName name="__obl18" localSheetId="24">#REF!</definedName>
    <definedName name="__obl18" localSheetId="22">#REF!</definedName>
    <definedName name="__obl18" localSheetId="25">#REF!</definedName>
    <definedName name="__obl18" localSheetId="29">#REF!</definedName>
    <definedName name="__obl18" localSheetId="27">#REF!</definedName>
    <definedName name="__obl18" localSheetId="28">#REF!</definedName>
    <definedName name="__obl18" localSheetId="12">#REF!</definedName>
    <definedName name="__obl18" localSheetId="14">#REF!</definedName>
    <definedName name="__obl18" localSheetId="19">#REF!</definedName>
    <definedName name="__obl18" localSheetId="30">#REF!</definedName>
    <definedName name="__obl18" localSheetId="31">#REF!</definedName>
    <definedName name="__obl18" localSheetId="32">#REF!</definedName>
    <definedName name="__obl18" localSheetId="35">#REF!</definedName>
    <definedName name="__obl18" localSheetId="34">#REF!</definedName>
    <definedName name="__obl18" localSheetId="39">#REF!</definedName>
    <definedName name="__obl18" localSheetId="40">#REF!</definedName>
    <definedName name="__obl18" localSheetId="41">#REF!</definedName>
    <definedName name="__obl18" localSheetId="42">#REF!</definedName>
    <definedName name="__obl18" localSheetId="48">#REF!</definedName>
    <definedName name="__obl18" localSheetId="49">#REF!</definedName>
    <definedName name="__obl18" localSheetId="44">#REF!</definedName>
    <definedName name="__obl18" localSheetId="45">#REF!</definedName>
    <definedName name="__obl18" localSheetId="46">#REF!</definedName>
    <definedName name="__obl18" localSheetId="47">#REF!</definedName>
    <definedName name="__obl18">#REF!</definedName>
    <definedName name="__obl181" localSheetId="11">#REF!</definedName>
    <definedName name="__obl181" localSheetId="23">#REF!</definedName>
    <definedName name="__obl181" localSheetId="24">#REF!</definedName>
    <definedName name="__obl181" localSheetId="22">#REF!</definedName>
    <definedName name="__obl181" localSheetId="25">#REF!</definedName>
    <definedName name="__obl181" localSheetId="29">#REF!</definedName>
    <definedName name="__obl181" localSheetId="27">#REF!</definedName>
    <definedName name="__obl181" localSheetId="28">#REF!</definedName>
    <definedName name="__obl181" localSheetId="12">#REF!</definedName>
    <definedName name="__obl181" localSheetId="14">#REF!</definedName>
    <definedName name="__obl181" localSheetId="19">#REF!</definedName>
    <definedName name="__obl181" localSheetId="30">#REF!</definedName>
    <definedName name="__obl181" localSheetId="31">#REF!</definedName>
    <definedName name="__obl181" localSheetId="32">#REF!</definedName>
    <definedName name="__obl181" localSheetId="35">#REF!</definedName>
    <definedName name="__obl181" localSheetId="34">#REF!</definedName>
    <definedName name="__obl181" localSheetId="39">#REF!</definedName>
    <definedName name="__obl181" localSheetId="40">#REF!</definedName>
    <definedName name="__obl181" localSheetId="41">#REF!</definedName>
    <definedName name="__obl181" localSheetId="42">#REF!</definedName>
    <definedName name="__obl181" localSheetId="48">#REF!</definedName>
    <definedName name="__obl181" localSheetId="49">#REF!</definedName>
    <definedName name="__obl181" localSheetId="44">#REF!</definedName>
    <definedName name="__obl181" localSheetId="45">#REF!</definedName>
    <definedName name="__obl181" localSheetId="46">#REF!</definedName>
    <definedName name="__obl181" localSheetId="47">#REF!</definedName>
    <definedName name="__obl181">#REF!</definedName>
    <definedName name="__obl1816" localSheetId="11">#REF!</definedName>
    <definedName name="__obl1816" localSheetId="23">#REF!</definedName>
    <definedName name="__obl1816" localSheetId="24">#REF!</definedName>
    <definedName name="__obl1816" localSheetId="22">#REF!</definedName>
    <definedName name="__obl1816" localSheetId="25">#REF!</definedName>
    <definedName name="__obl1816" localSheetId="29">#REF!</definedName>
    <definedName name="__obl1816" localSheetId="27">#REF!</definedName>
    <definedName name="__obl1816" localSheetId="28">#REF!</definedName>
    <definedName name="__obl1816" localSheetId="12">#REF!</definedName>
    <definedName name="__obl1816" localSheetId="14">#REF!</definedName>
    <definedName name="__obl1816" localSheetId="19">#REF!</definedName>
    <definedName name="__obl1816" localSheetId="30">#REF!</definedName>
    <definedName name="__obl1816" localSheetId="31">#REF!</definedName>
    <definedName name="__obl1816" localSheetId="32">#REF!</definedName>
    <definedName name="__obl1816" localSheetId="35">#REF!</definedName>
    <definedName name="__obl1816" localSheetId="34">#REF!</definedName>
    <definedName name="__obl1816" localSheetId="39">#REF!</definedName>
    <definedName name="__obl1816" localSheetId="40">#REF!</definedName>
    <definedName name="__obl1816" localSheetId="41">#REF!</definedName>
    <definedName name="__obl1816" localSheetId="42">#REF!</definedName>
    <definedName name="__obl1816" localSheetId="48">#REF!</definedName>
    <definedName name="__obl1816" localSheetId="49">#REF!</definedName>
    <definedName name="__obl1816" localSheetId="44">#REF!</definedName>
    <definedName name="__obl1816" localSheetId="45">#REF!</definedName>
    <definedName name="__obl1816" localSheetId="46">#REF!</definedName>
    <definedName name="__obl1816" localSheetId="47">#REF!</definedName>
    <definedName name="__obl1816">#REF!</definedName>
    <definedName name="__obl1820" localSheetId="11">#REF!</definedName>
    <definedName name="__obl1820" localSheetId="23">#REF!</definedName>
    <definedName name="__obl1820" localSheetId="24">#REF!</definedName>
    <definedName name="__obl1820" localSheetId="22">#REF!</definedName>
    <definedName name="__obl1820" localSheetId="25">#REF!</definedName>
    <definedName name="__obl1820" localSheetId="29">#REF!</definedName>
    <definedName name="__obl1820" localSheetId="27">#REF!</definedName>
    <definedName name="__obl1820" localSheetId="28">#REF!</definedName>
    <definedName name="__obl1820" localSheetId="12">#REF!</definedName>
    <definedName name="__obl1820" localSheetId="14">#REF!</definedName>
    <definedName name="__obl1820" localSheetId="19">#REF!</definedName>
    <definedName name="__obl1820" localSheetId="30">#REF!</definedName>
    <definedName name="__obl1820" localSheetId="31">#REF!</definedName>
    <definedName name="__obl1820" localSheetId="32">#REF!</definedName>
    <definedName name="__obl1820" localSheetId="35">#REF!</definedName>
    <definedName name="__obl1820" localSheetId="34">#REF!</definedName>
    <definedName name="__obl1820" localSheetId="39">#REF!</definedName>
    <definedName name="__obl1820" localSheetId="40">#REF!</definedName>
    <definedName name="__obl1820" localSheetId="41">#REF!</definedName>
    <definedName name="__obl1820" localSheetId="42">#REF!</definedName>
    <definedName name="__obl1820" localSheetId="48">#REF!</definedName>
    <definedName name="__obl1820" localSheetId="49">#REF!</definedName>
    <definedName name="__obl1820" localSheetId="44">#REF!</definedName>
    <definedName name="__obl1820" localSheetId="45">#REF!</definedName>
    <definedName name="__obl1820" localSheetId="46">#REF!</definedName>
    <definedName name="__obl1820" localSheetId="47">#REF!</definedName>
    <definedName name="__obl1820">#REF!</definedName>
    <definedName name="__obl1821" localSheetId="11">#REF!</definedName>
    <definedName name="__obl1821" localSheetId="23">#REF!</definedName>
    <definedName name="__obl1821" localSheetId="24">#REF!</definedName>
    <definedName name="__obl1821" localSheetId="22">#REF!</definedName>
    <definedName name="__obl1821" localSheetId="25">#REF!</definedName>
    <definedName name="__obl1821" localSheetId="29">#REF!</definedName>
    <definedName name="__obl1821" localSheetId="27">#REF!</definedName>
    <definedName name="__obl1821" localSheetId="28">#REF!</definedName>
    <definedName name="__obl1821" localSheetId="12">#REF!</definedName>
    <definedName name="__obl1821" localSheetId="14">#REF!</definedName>
    <definedName name="__obl1821" localSheetId="19">#REF!</definedName>
    <definedName name="__obl1821" localSheetId="30">#REF!</definedName>
    <definedName name="__obl1821" localSheetId="31">#REF!</definedName>
    <definedName name="__obl1821" localSheetId="32">#REF!</definedName>
    <definedName name="__obl1821" localSheetId="35">#REF!</definedName>
    <definedName name="__obl1821" localSheetId="34">#REF!</definedName>
    <definedName name="__obl1821" localSheetId="39">#REF!</definedName>
    <definedName name="__obl1821" localSheetId="40">#REF!</definedName>
    <definedName name="__obl1821" localSheetId="41">#REF!</definedName>
    <definedName name="__obl1821" localSheetId="42">#REF!</definedName>
    <definedName name="__obl1821" localSheetId="48">#REF!</definedName>
    <definedName name="__obl1821" localSheetId="49">#REF!</definedName>
    <definedName name="__obl1821" localSheetId="44">#REF!</definedName>
    <definedName name="__obl1821" localSheetId="45">#REF!</definedName>
    <definedName name="__obl1821" localSheetId="46">#REF!</definedName>
    <definedName name="__obl1821" localSheetId="47">#REF!</definedName>
    <definedName name="__obl1821">#REF!</definedName>
    <definedName name="__obl1822" localSheetId="11">#REF!</definedName>
    <definedName name="__obl1822" localSheetId="23">#REF!</definedName>
    <definedName name="__obl1822" localSheetId="24">#REF!</definedName>
    <definedName name="__obl1822" localSheetId="22">#REF!</definedName>
    <definedName name="__obl1822" localSheetId="25">#REF!</definedName>
    <definedName name="__obl1822" localSheetId="29">#REF!</definedName>
    <definedName name="__obl1822" localSheetId="27">#REF!</definedName>
    <definedName name="__obl1822" localSheetId="28">#REF!</definedName>
    <definedName name="__obl1822" localSheetId="12">#REF!</definedName>
    <definedName name="__obl1822" localSheetId="14">#REF!</definedName>
    <definedName name="__obl1822" localSheetId="19">#REF!</definedName>
    <definedName name="__obl1822" localSheetId="30">#REF!</definedName>
    <definedName name="__obl1822" localSheetId="31">#REF!</definedName>
    <definedName name="__obl1822" localSheetId="32">#REF!</definedName>
    <definedName name="__obl1822" localSheetId="35">#REF!</definedName>
    <definedName name="__obl1822" localSheetId="34">#REF!</definedName>
    <definedName name="__obl1822" localSheetId="39">#REF!</definedName>
    <definedName name="__obl1822" localSheetId="40">#REF!</definedName>
    <definedName name="__obl1822" localSheetId="41">#REF!</definedName>
    <definedName name="__obl1822" localSheetId="42">#REF!</definedName>
    <definedName name="__obl1822" localSheetId="48">#REF!</definedName>
    <definedName name="__obl1822" localSheetId="49">#REF!</definedName>
    <definedName name="__obl1822" localSheetId="44">#REF!</definedName>
    <definedName name="__obl1822" localSheetId="45">#REF!</definedName>
    <definedName name="__obl1822" localSheetId="46">#REF!</definedName>
    <definedName name="__obl1822" localSheetId="47">#REF!</definedName>
    <definedName name="__obl1822">#REF!</definedName>
    <definedName name="__obl1823" localSheetId="11">#REF!</definedName>
    <definedName name="__obl1823" localSheetId="23">#REF!</definedName>
    <definedName name="__obl1823" localSheetId="24">#REF!</definedName>
    <definedName name="__obl1823" localSheetId="22">#REF!</definedName>
    <definedName name="__obl1823" localSheetId="25">#REF!</definedName>
    <definedName name="__obl1823" localSheetId="29">#REF!</definedName>
    <definedName name="__obl1823" localSheetId="27">#REF!</definedName>
    <definedName name="__obl1823" localSheetId="28">#REF!</definedName>
    <definedName name="__obl1823" localSheetId="12">#REF!</definedName>
    <definedName name="__obl1823" localSheetId="14">#REF!</definedName>
    <definedName name="__obl1823" localSheetId="19">#REF!</definedName>
    <definedName name="__obl1823" localSheetId="30">#REF!</definedName>
    <definedName name="__obl1823" localSheetId="31">#REF!</definedName>
    <definedName name="__obl1823" localSheetId="32">#REF!</definedName>
    <definedName name="__obl1823" localSheetId="35">#REF!</definedName>
    <definedName name="__obl1823" localSheetId="34">#REF!</definedName>
    <definedName name="__obl1823" localSheetId="39">#REF!</definedName>
    <definedName name="__obl1823" localSheetId="40">#REF!</definedName>
    <definedName name="__obl1823" localSheetId="41">#REF!</definedName>
    <definedName name="__obl1823" localSheetId="42">#REF!</definedName>
    <definedName name="__obl1823" localSheetId="48">#REF!</definedName>
    <definedName name="__obl1823" localSheetId="49">#REF!</definedName>
    <definedName name="__obl1823" localSheetId="44">#REF!</definedName>
    <definedName name="__obl1823" localSheetId="45">#REF!</definedName>
    <definedName name="__obl1823" localSheetId="46">#REF!</definedName>
    <definedName name="__obl1823" localSheetId="47">#REF!</definedName>
    <definedName name="__obl1823">#REF!</definedName>
    <definedName name="__obl1824" localSheetId="11">#REF!</definedName>
    <definedName name="__obl1824" localSheetId="23">#REF!</definedName>
    <definedName name="__obl1824" localSheetId="24">#REF!</definedName>
    <definedName name="__obl1824" localSheetId="22">#REF!</definedName>
    <definedName name="__obl1824" localSheetId="25">#REF!</definedName>
    <definedName name="__obl1824" localSheetId="29">#REF!</definedName>
    <definedName name="__obl1824" localSheetId="27">#REF!</definedName>
    <definedName name="__obl1824" localSheetId="28">#REF!</definedName>
    <definedName name="__obl1824" localSheetId="12">#REF!</definedName>
    <definedName name="__obl1824" localSheetId="14">#REF!</definedName>
    <definedName name="__obl1824" localSheetId="19">#REF!</definedName>
    <definedName name="__obl1824" localSheetId="30">#REF!</definedName>
    <definedName name="__obl1824" localSheetId="31">#REF!</definedName>
    <definedName name="__obl1824" localSheetId="32">#REF!</definedName>
    <definedName name="__obl1824" localSheetId="35">#REF!</definedName>
    <definedName name="__obl1824" localSheetId="34">#REF!</definedName>
    <definedName name="__obl1824" localSheetId="39">#REF!</definedName>
    <definedName name="__obl1824" localSheetId="40">#REF!</definedName>
    <definedName name="__obl1824" localSheetId="41">#REF!</definedName>
    <definedName name="__obl1824" localSheetId="42">#REF!</definedName>
    <definedName name="__obl1824" localSheetId="48">#REF!</definedName>
    <definedName name="__obl1824" localSheetId="49">#REF!</definedName>
    <definedName name="__obl1824" localSheetId="44">#REF!</definedName>
    <definedName name="__obl1824" localSheetId="45">#REF!</definedName>
    <definedName name="__obl1824" localSheetId="46">#REF!</definedName>
    <definedName name="__obl1824" localSheetId="47">#REF!</definedName>
    <definedName name="__obl1824">#REF!</definedName>
    <definedName name="__obl1825" localSheetId="11">#REF!</definedName>
    <definedName name="__obl1825" localSheetId="23">#REF!</definedName>
    <definedName name="__obl1825" localSheetId="24">#REF!</definedName>
    <definedName name="__obl1825" localSheetId="22">#REF!</definedName>
    <definedName name="__obl1825" localSheetId="25">#REF!</definedName>
    <definedName name="__obl1825" localSheetId="29">#REF!</definedName>
    <definedName name="__obl1825" localSheetId="27">#REF!</definedName>
    <definedName name="__obl1825" localSheetId="28">#REF!</definedName>
    <definedName name="__obl1825" localSheetId="12">#REF!</definedName>
    <definedName name="__obl1825" localSheetId="14">#REF!</definedName>
    <definedName name="__obl1825" localSheetId="19">#REF!</definedName>
    <definedName name="__obl1825" localSheetId="30">#REF!</definedName>
    <definedName name="__obl1825" localSheetId="31">#REF!</definedName>
    <definedName name="__obl1825" localSheetId="32">#REF!</definedName>
    <definedName name="__obl1825" localSheetId="35">#REF!</definedName>
    <definedName name="__obl1825" localSheetId="34">#REF!</definedName>
    <definedName name="__obl1825" localSheetId="39">#REF!</definedName>
    <definedName name="__obl1825" localSheetId="40">#REF!</definedName>
    <definedName name="__obl1825" localSheetId="41">#REF!</definedName>
    <definedName name="__obl1825" localSheetId="42">#REF!</definedName>
    <definedName name="__obl1825" localSheetId="48">#REF!</definedName>
    <definedName name="__obl1825" localSheetId="49">#REF!</definedName>
    <definedName name="__obl1825" localSheetId="44">#REF!</definedName>
    <definedName name="__obl1825" localSheetId="45">#REF!</definedName>
    <definedName name="__obl1825" localSheetId="46">#REF!</definedName>
    <definedName name="__obl1825" localSheetId="47">#REF!</definedName>
    <definedName name="__obl1825">#REF!</definedName>
    <definedName name="__obl1826" localSheetId="11">#REF!</definedName>
    <definedName name="__obl1826" localSheetId="23">#REF!</definedName>
    <definedName name="__obl1826" localSheetId="24">#REF!</definedName>
    <definedName name="__obl1826" localSheetId="22">#REF!</definedName>
    <definedName name="__obl1826" localSheetId="25">#REF!</definedName>
    <definedName name="__obl1826" localSheetId="29">#REF!</definedName>
    <definedName name="__obl1826" localSheetId="27">#REF!</definedName>
    <definedName name="__obl1826" localSheetId="28">#REF!</definedName>
    <definedName name="__obl1826" localSheetId="12">#REF!</definedName>
    <definedName name="__obl1826" localSheetId="14">#REF!</definedName>
    <definedName name="__obl1826" localSheetId="19">#REF!</definedName>
    <definedName name="__obl1826" localSheetId="30">#REF!</definedName>
    <definedName name="__obl1826" localSheetId="31">#REF!</definedName>
    <definedName name="__obl1826" localSheetId="32">#REF!</definedName>
    <definedName name="__obl1826" localSheetId="35">#REF!</definedName>
    <definedName name="__obl1826" localSheetId="34">#REF!</definedName>
    <definedName name="__obl1826" localSheetId="39">#REF!</definedName>
    <definedName name="__obl1826" localSheetId="40">#REF!</definedName>
    <definedName name="__obl1826" localSheetId="41">#REF!</definedName>
    <definedName name="__obl1826" localSheetId="42">#REF!</definedName>
    <definedName name="__obl1826" localSheetId="48">#REF!</definedName>
    <definedName name="__obl1826" localSheetId="49">#REF!</definedName>
    <definedName name="__obl1826" localSheetId="44">#REF!</definedName>
    <definedName name="__obl1826" localSheetId="45">#REF!</definedName>
    <definedName name="__obl1826" localSheetId="46">#REF!</definedName>
    <definedName name="__obl1826" localSheetId="47">#REF!</definedName>
    <definedName name="__obl1826">#REF!</definedName>
    <definedName name="__obl1827" localSheetId="11">#REF!</definedName>
    <definedName name="__obl1827" localSheetId="23">#REF!</definedName>
    <definedName name="__obl1827" localSheetId="24">#REF!</definedName>
    <definedName name="__obl1827" localSheetId="22">#REF!</definedName>
    <definedName name="__obl1827" localSheetId="25">#REF!</definedName>
    <definedName name="__obl1827" localSheetId="29">#REF!</definedName>
    <definedName name="__obl1827" localSheetId="27">#REF!</definedName>
    <definedName name="__obl1827" localSheetId="28">#REF!</definedName>
    <definedName name="__obl1827" localSheetId="12">#REF!</definedName>
    <definedName name="__obl1827" localSheetId="14">#REF!</definedName>
    <definedName name="__obl1827" localSheetId="19">#REF!</definedName>
    <definedName name="__obl1827" localSheetId="30">#REF!</definedName>
    <definedName name="__obl1827" localSheetId="31">#REF!</definedName>
    <definedName name="__obl1827" localSheetId="32">#REF!</definedName>
    <definedName name="__obl1827" localSheetId="35">#REF!</definedName>
    <definedName name="__obl1827" localSheetId="34">#REF!</definedName>
    <definedName name="__obl1827" localSheetId="39">#REF!</definedName>
    <definedName name="__obl1827" localSheetId="40">#REF!</definedName>
    <definedName name="__obl1827" localSheetId="41">#REF!</definedName>
    <definedName name="__obl1827" localSheetId="42">#REF!</definedName>
    <definedName name="__obl1827" localSheetId="48">#REF!</definedName>
    <definedName name="__obl1827" localSheetId="49">#REF!</definedName>
    <definedName name="__obl1827" localSheetId="44">#REF!</definedName>
    <definedName name="__obl1827" localSheetId="45">#REF!</definedName>
    <definedName name="__obl1827" localSheetId="46">#REF!</definedName>
    <definedName name="__obl1827" localSheetId="47">#REF!</definedName>
    <definedName name="__obl1827">#REF!</definedName>
    <definedName name="__obl1828" localSheetId="11">#REF!</definedName>
    <definedName name="__obl1828" localSheetId="23">#REF!</definedName>
    <definedName name="__obl1828" localSheetId="24">#REF!</definedName>
    <definedName name="__obl1828" localSheetId="22">#REF!</definedName>
    <definedName name="__obl1828" localSheetId="25">#REF!</definedName>
    <definedName name="__obl1828" localSheetId="29">#REF!</definedName>
    <definedName name="__obl1828" localSheetId="27">#REF!</definedName>
    <definedName name="__obl1828" localSheetId="28">#REF!</definedName>
    <definedName name="__obl1828" localSheetId="12">#REF!</definedName>
    <definedName name="__obl1828" localSheetId="14">#REF!</definedName>
    <definedName name="__obl1828" localSheetId="19">#REF!</definedName>
    <definedName name="__obl1828" localSheetId="30">#REF!</definedName>
    <definedName name="__obl1828" localSheetId="31">#REF!</definedName>
    <definedName name="__obl1828" localSheetId="32">#REF!</definedName>
    <definedName name="__obl1828" localSheetId="35">#REF!</definedName>
    <definedName name="__obl1828" localSheetId="34">#REF!</definedName>
    <definedName name="__obl1828" localSheetId="39">#REF!</definedName>
    <definedName name="__obl1828" localSheetId="40">#REF!</definedName>
    <definedName name="__obl1828" localSheetId="41">#REF!</definedName>
    <definedName name="__obl1828" localSheetId="42">#REF!</definedName>
    <definedName name="__obl1828" localSheetId="48">#REF!</definedName>
    <definedName name="__obl1828" localSheetId="49">#REF!</definedName>
    <definedName name="__obl1828" localSheetId="44">#REF!</definedName>
    <definedName name="__obl1828" localSheetId="45">#REF!</definedName>
    <definedName name="__obl1828" localSheetId="46">#REF!</definedName>
    <definedName name="__obl1828" localSheetId="47">#REF!</definedName>
    <definedName name="__obl1828">#REF!</definedName>
    <definedName name="__obl1829" localSheetId="11">#REF!</definedName>
    <definedName name="__obl1829" localSheetId="23">#REF!</definedName>
    <definedName name="__obl1829" localSheetId="24">#REF!</definedName>
    <definedName name="__obl1829" localSheetId="22">#REF!</definedName>
    <definedName name="__obl1829" localSheetId="25">#REF!</definedName>
    <definedName name="__obl1829" localSheetId="29">#REF!</definedName>
    <definedName name="__obl1829" localSheetId="27">#REF!</definedName>
    <definedName name="__obl1829" localSheetId="28">#REF!</definedName>
    <definedName name="__obl1829" localSheetId="12">#REF!</definedName>
    <definedName name="__obl1829" localSheetId="14">#REF!</definedName>
    <definedName name="__obl1829" localSheetId="19">#REF!</definedName>
    <definedName name="__obl1829" localSheetId="30">#REF!</definedName>
    <definedName name="__obl1829" localSheetId="31">#REF!</definedName>
    <definedName name="__obl1829" localSheetId="32">#REF!</definedName>
    <definedName name="__obl1829" localSheetId="35">#REF!</definedName>
    <definedName name="__obl1829" localSheetId="34">#REF!</definedName>
    <definedName name="__obl1829" localSheetId="39">#REF!</definedName>
    <definedName name="__obl1829" localSheetId="40">#REF!</definedName>
    <definedName name="__obl1829" localSheetId="41">#REF!</definedName>
    <definedName name="__obl1829" localSheetId="42">#REF!</definedName>
    <definedName name="__obl1829" localSheetId="48">#REF!</definedName>
    <definedName name="__obl1829" localSheetId="49">#REF!</definedName>
    <definedName name="__obl1829" localSheetId="44">#REF!</definedName>
    <definedName name="__obl1829" localSheetId="45">#REF!</definedName>
    <definedName name="__obl1829" localSheetId="46">#REF!</definedName>
    <definedName name="__obl1829" localSheetId="47">#REF!</definedName>
    <definedName name="__obl1829">#REF!</definedName>
    <definedName name="__obl183" localSheetId="11">#REF!</definedName>
    <definedName name="__obl183" localSheetId="23">#REF!</definedName>
    <definedName name="__obl183" localSheetId="24">#REF!</definedName>
    <definedName name="__obl183" localSheetId="22">#REF!</definedName>
    <definedName name="__obl183" localSheetId="25">#REF!</definedName>
    <definedName name="__obl183" localSheetId="29">#REF!</definedName>
    <definedName name="__obl183" localSheetId="27">#REF!</definedName>
    <definedName name="__obl183" localSheetId="28">#REF!</definedName>
    <definedName name="__obl183" localSheetId="12">#REF!</definedName>
    <definedName name="__obl183" localSheetId="14">#REF!</definedName>
    <definedName name="__obl183" localSheetId="19">#REF!</definedName>
    <definedName name="__obl183" localSheetId="30">#REF!</definedName>
    <definedName name="__obl183" localSheetId="31">#REF!</definedName>
    <definedName name="__obl183" localSheetId="32">#REF!</definedName>
    <definedName name="__obl183" localSheetId="35">#REF!</definedName>
    <definedName name="__obl183" localSheetId="34">#REF!</definedName>
    <definedName name="__obl183" localSheetId="39">#REF!</definedName>
    <definedName name="__obl183" localSheetId="40">#REF!</definedName>
    <definedName name="__obl183" localSheetId="41">#REF!</definedName>
    <definedName name="__obl183" localSheetId="42">#REF!</definedName>
    <definedName name="__obl183" localSheetId="48">#REF!</definedName>
    <definedName name="__obl183" localSheetId="49">#REF!</definedName>
    <definedName name="__obl183" localSheetId="44">#REF!</definedName>
    <definedName name="__obl183" localSheetId="45">#REF!</definedName>
    <definedName name="__obl183" localSheetId="46">#REF!</definedName>
    <definedName name="__obl183" localSheetId="47">#REF!</definedName>
    <definedName name="__obl183">#REF!</definedName>
    <definedName name="__obl1831" localSheetId="11">#REF!</definedName>
    <definedName name="__obl1831" localSheetId="23">#REF!</definedName>
    <definedName name="__obl1831" localSheetId="24">#REF!</definedName>
    <definedName name="__obl1831" localSheetId="22">#REF!</definedName>
    <definedName name="__obl1831" localSheetId="25">#REF!</definedName>
    <definedName name="__obl1831" localSheetId="29">#REF!</definedName>
    <definedName name="__obl1831" localSheetId="27">#REF!</definedName>
    <definedName name="__obl1831" localSheetId="28">#REF!</definedName>
    <definedName name="__obl1831" localSheetId="12">#REF!</definedName>
    <definedName name="__obl1831" localSheetId="14">#REF!</definedName>
    <definedName name="__obl1831" localSheetId="19">#REF!</definedName>
    <definedName name="__obl1831" localSheetId="30">#REF!</definedName>
    <definedName name="__obl1831" localSheetId="31">#REF!</definedName>
    <definedName name="__obl1831" localSheetId="32">#REF!</definedName>
    <definedName name="__obl1831" localSheetId="35">#REF!</definedName>
    <definedName name="__obl1831" localSheetId="34">#REF!</definedName>
    <definedName name="__obl1831" localSheetId="39">#REF!</definedName>
    <definedName name="__obl1831" localSheetId="40">#REF!</definedName>
    <definedName name="__obl1831" localSheetId="41">#REF!</definedName>
    <definedName name="__obl1831" localSheetId="42">#REF!</definedName>
    <definedName name="__obl1831" localSheetId="48">#REF!</definedName>
    <definedName name="__obl1831" localSheetId="49">#REF!</definedName>
    <definedName name="__obl1831" localSheetId="44">#REF!</definedName>
    <definedName name="__obl1831" localSheetId="45">#REF!</definedName>
    <definedName name="__obl1831" localSheetId="46">#REF!</definedName>
    <definedName name="__obl1831" localSheetId="47">#REF!</definedName>
    <definedName name="__obl1831">#REF!</definedName>
    <definedName name="__obl1832" localSheetId="11">#REF!</definedName>
    <definedName name="__obl1832" localSheetId="23">#REF!</definedName>
    <definedName name="__obl1832" localSheetId="24">#REF!</definedName>
    <definedName name="__obl1832" localSheetId="22">#REF!</definedName>
    <definedName name="__obl1832" localSheetId="25">#REF!</definedName>
    <definedName name="__obl1832" localSheetId="29">#REF!</definedName>
    <definedName name="__obl1832" localSheetId="27">#REF!</definedName>
    <definedName name="__obl1832" localSheetId="28">#REF!</definedName>
    <definedName name="__obl1832" localSheetId="12">#REF!</definedName>
    <definedName name="__obl1832" localSheetId="14">#REF!</definedName>
    <definedName name="__obl1832" localSheetId="19">#REF!</definedName>
    <definedName name="__obl1832" localSheetId="30">#REF!</definedName>
    <definedName name="__obl1832" localSheetId="31">#REF!</definedName>
    <definedName name="__obl1832" localSheetId="32">#REF!</definedName>
    <definedName name="__obl1832" localSheetId="35">#REF!</definedName>
    <definedName name="__obl1832" localSheetId="34">#REF!</definedName>
    <definedName name="__obl1832" localSheetId="39">#REF!</definedName>
    <definedName name="__obl1832" localSheetId="40">#REF!</definedName>
    <definedName name="__obl1832" localSheetId="41">#REF!</definedName>
    <definedName name="__obl1832" localSheetId="42">#REF!</definedName>
    <definedName name="__obl1832" localSheetId="48">#REF!</definedName>
    <definedName name="__obl1832" localSheetId="49">#REF!</definedName>
    <definedName name="__obl1832" localSheetId="44">#REF!</definedName>
    <definedName name="__obl1832" localSheetId="45">#REF!</definedName>
    <definedName name="__obl1832" localSheetId="46">#REF!</definedName>
    <definedName name="__obl1832" localSheetId="47">#REF!</definedName>
    <definedName name="__obl1832">#REF!</definedName>
    <definedName name="__obl184" localSheetId="11">#REF!</definedName>
    <definedName name="__obl184" localSheetId="23">#REF!</definedName>
    <definedName name="__obl184" localSheetId="24">#REF!</definedName>
    <definedName name="__obl184" localSheetId="22">#REF!</definedName>
    <definedName name="__obl184" localSheetId="25">#REF!</definedName>
    <definedName name="__obl184" localSheetId="29">#REF!</definedName>
    <definedName name="__obl184" localSheetId="27">#REF!</definedName>
    <definedName name="__obl184" localSheetId="28">#REF!</definedName>
    <definedName name="__obl184" localSheetId="12">#REF!</definedName>
    <definedName name="__obl184" localSheetId="14">#REF!</definedName>
    <definedName name="__obl184" localSheetId="19">#REF!</definedName>
    <definedName name="__obl184" localSheetId="30">#REF!</definedName>
    <definedName name="__obl184" localSheetId="31">#REF!</definedName>
    <definedName name="__obl184" localSheetId="32">#REF!</definedName>
    <definedName name="__obl184" localSheetId="35">#REF!</definedName>
    <definedName name="__obl184" localSheetId="34">#REF!</definedName>
    <definedName name="__obl184" localSheetId="39">#REF!</definedName>
    <definedName name="__obl184" localSheetId="40">#REF!</definedName>
    <definedName name="__obl184" localSheetId="41">#REF!</definedName>
    <definedName name="__obl184" localSheetId="42">#REF!</definedName>
    <definedName name="__obl184" localSheetId="48">#REF!</definedName>
    <definedName name="__obl184" localSheetId="49">#REF!</definedName>
    <definedName name="__obl184" localSheetId="44">#REF!</definedName>
    <definedName name="__obl184" localSheetId="45">#REF!</definedName>
    <definedName name="__obl184" localSheetId="46">#REF!</definedName>
    <definedName name="__obl184" localSheetId="47">#REF!</definedName>
    <definedName name="__obl184">#REF!</definedName>
    <definedName name="__obl185" localSheetId="11">#REF!</definedName>
    <definedName name="__obl185" localSheetId="23">#REF!</definedName>
    <definedName name="__obl185" localSheetId="24">#REF!</definedName>
    <definedName name="__obl185" localSheetId="22">#REF!</definedName>
    <definedName name="__obl185" localSheetId="25">#REF!</definedName>
    <definedName name="__obl185" localSheetId="29">#REF!</definedName>
    <definedName name="__obl185" localSheetId="27">#REF!</definedName>
    <definedName name="__obl185" localSheetId="28">#REF!</definedName>
    <definedName name="__obl185" localSheetId="12">#REF!</definedName>
    <definedName name="__obl185" localSheetId="14">#REF!</definedName>
    <definedName name="__obl185" localSheetId="19">#REF!</definedName>
    <definedName name="__obl185" localSheetId="30">#REF!</definedName>
    <definedName name="__obl185" localSheetId="31">#REF!</definedName>
    <definedName name="__obl185" localSheetId="32">#REF!</definedName>
    <definedName name="__obl185" localSheetId="35">#REF!</definedName>
    <definedName name="__obl185" localSheetId="34">#REF!</definedName>
    <definedName name="__obl185" localSheetId="39">#REF!</definedName>
    <definedName name="__obl185" localSheetId="40">#REF!</definedName>
    <definedName name="__obl185" localSheetId="41">#REF!</definedName>
    <definedName name="__obl185" localSheetId="42">#REF!</definedName>
    <definedName name="__obl185" localSheetId="48">#REF!</definedName>
    <definedName name="__obl185" localSheetId="49">#REF!</definedName>
    <definedName name="__obl185" localSheetId="44">#REF!</definedName>
    <definedName name="__obl185" localSheetId="45">#REF!</definedName>
    <definedName name="__obl185" localSheetId="46">#REF!</definedName>
    <definedName name="__obl185" localSheetId="47">#REF!</definedName>
    <definedName name="__obl185">#REF!</definedName>
    <definedName name="__obl186" localSheetId="11">#REF!</definedName>
    <definedName name="__obl186" localSheetId="23">#REF!</definedName>
    <definedName name="__obl186" localSheetId="24">#REF!</definedName>
    <definedName name="__obl186" localSheetId="22">#REF!</definedName>
    <definedName name="__obl186" localSheetId="25">#REF!</definedName>
    <definedName name="__obl186" localSheetId="29">#REF!</definedName>
    <definedName name="__obl186" localSheetId="27">#REF!</definedName>
    <definedName name="__obl186" localSheetId="28">#REF!</definedName>
    <definedName name="__obl186" localSheetId="12">#REF!</definedName>
    <definedName name="__obl186" localSheetId="14">#REF!</definedName>
    <definedName name="__obl186" localSheetId="19">#REF!</definedName>
    <definedName name="__obl186" localSheetId="30">#REF!</definedName>
    <definedName name="__obl186" localSheetId="31">#REF!</definedName>
    <definedName name="__obl186" localSheetId="32">#REF!</definedName>
    <definedName name="__obl186" localSheetId="35">#REF!</definedName>
    <definedName name="__obl186" localSheetId="34">#REF!</definedName>
    <definedName name="__obl186" localSheetId="39">#REF!</definedName>
    <definedName name="__obl186" localSheetId="40">#REF!</definedName>
    <definedName name="__obl186" localSheetId="41">#REF!</definedName>
    <definedName name="__obl186" localSheetId="42">#REF!</definedName>
    <definedName name="__obl186" localSheetId="48">#REF!</definedName>
    <definedName name="__obl186" localSheetId="49">#REF!</definedName>
    <definedName name="__obl186" localSheetId="44">#REF!</definedName>
    <definedName name="__obl186" localSheetId="45">#REF!</definedName>
    <definedName name="__obl186" localSheetId="46">#REF!</definedName>
    <definedName name="__obl186" localSheetId="47">#REF!</definedName>
    <definedName name="__obl186">#REF!</definedName>
    <definedName name="__obl187" localSheetId="11">#REF!</definedName>
    <definedName name="__obl187" localSheetId="23">#REF!</definedName>
    <definedName name="__obl187" localSheetId="24">#REF!</definedName>
    <definedName name="__obl187" localSheetId="22">#REF!</definedName>
    <definedName name="__obl187" localSheetId="25">#REF!</definedName>
    <definedName name="__obl187" localSheetId="29">#REF!</definedName>
    <definedName name="__obl187" localSheetId="27">#REF!</definedName>
    <definedName name="__obl187" localSheetId="28">#REF!</definedName>
    <definedName name="__obl187" localSheetId="12">#REF!</definedName>
    <definedName name="__obl187" localSheetId="14">#REF!</definedName>
    <definedName name="__obl187" localSheetId="19">#REF!</definedName>
    <definedName name="__obl187" localSheetId="30">#REF!</definedName>
    <definedName name="__obl187" localSheetId="31">#REF!</definedName>
    <definedName name="__obl187" localSheetId="32">#REF!</definedName>
    <definedName name="__obl187" localSheetId="35">#REF!</definedName>
    <definedName name="__obl187" localSheetId="34">#REF!</definedName>
    <definedName name="__obl187" localSheetId="39">#REF!</definedName>
    <definedName name="__obl187" localSheetId="40">#REF!</definedName>
    <definedName name="__obl187" localSheetId="41">#REF!</definedName>
    <definedName name="__obl187" localSheetId="42">#REF!</definedName>
    <definedName name="__obl187" localSheetId="48">#REF!</definedName>
    <definedName name="__obl187" localSheetId="49">#REF!</definedName>
    <definedName name="__obl187" localSheetId="44">#REF!</definedName>
    <definedName name="__obl187" localSheetId="45">#REF!</definedName>
    <definedName name="__obl187" localSheetId="46">#REF!</definedName>
    <definedName name="__obl187" localSheetId="47">#REF!</definedName>
    <definedName name="__obl187">#REF!</definedName>
    <definedName name="_xlnm._FilterDatabase" localSheetId="3" hidden="1">'01 - Novostavba'!$C$146:$K$1201</definedName>
    <definedName name="_xlnm._FilterDatabase" localSheetId="4" hidden="1">'01.1 - Novostavba - podlahy'!$C$129:$K$344</definedName>
    <definedName name="_xlnm._FilterDatabase" localSheetId="5" hidden="1">'01.2 - Výpisy prvků - ta...'!$C$147:$K$1902</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10">Scheduled_Payment+Extra_Payment</definedName>
    <definedName name="_NS" localSheetId="25">Scheduled_Payment+Extra_Payment</definedName>
    <definedName name="_NS" localSheetId="29">Scheduled_Payment+Extra_Payment</definedName>
    <definedName name="_NS" localSheetId="27">Scheduled_Payment+Extra_Payment</definedName>
    <definedName name="_NS" localSheetId="28">Scheduled_Payment+Extra_Payment</definedName>
    <definedName name="_NS" localSheetId="30">Scheduled_Payment+Extra_Payment</definedName>
    <definedName name="_NS" localSheetId="32">Scheduled_Payment+Extra_Payment</definedName>
    <definedName name="_NS">Scheduled_Payment+Extra_Payment</definedName>
    <definedName name="_obl11" localSheetId="10">#REF!</definedName>
    <definedName name="_obl11" localSheetId="11">#REF!</definedName>
    <definedName name="_obl11" localSheetId="23">#REF!</definedName>
    <definedName name="_obl11" localSheetId="24">#REF!</definedName>
    <definedName name="_obl11" localSheetId="22">#REF!</definedName>
    <definedName name="_obl11" localSheetId="25">#REF!</definedName>
    <definedName name="_obl11" localSheetId="29">#REF!</definedName>
    <definedName name="_obl11" localSheetId="27">#REF!</definedName>
    <definedName name="_obl11" localSheetId="28">#REF!</definedName>
    <definedName name="_obl11" localSheetId="12">#REF!</definedName>
    <definedName name="_obl11" localSheetId="14">#REF!</definedName>
    <definedName name="_obl11" localSheetId="19">#REF!</definedName>
    <definedName name="_obl11" localSheetId="30">#REF!</definedName>
    <definedName name="_obl11" localSheetId="31">#REF!</definedName>
    <definedName name="_obl11" localSheetId="32">#REF!</definedName>
    <definedName name="_obl11" localSheetId="36">#REF!</definedName>
    <definedName name="_obl11" localSheetId="35">#REF!</definedName>
    <definedName name="_obl11" localSheetId="34">#REF!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2">#REF!</definedName>
    <definedName name="_obl11" localSheetId="48">#REF!</definedName>
    <definedName name="_obl11" localSheetId="49">#REF!</definedName>
    <definedName name="_obl11" localSheetId="44">#REF!</definedName>
    <definedName name="_obl11" localSheetId="45">#REF!</definedName>
    <definedName name="_obl11" localSheetId="46">#REF!</definedName>
    <definedName name="_obl11" localSheetId="47">#REF!</definedName>
    <definedName name="_obl11" localSheetId="33">#REF!</definedName>
    <definedName name="_obl11" localSheetId="43">#REF!</definedName>
    <definedName name="_obl11">#REF!</definedName>
    <definedName name="_obl112" localSheetId="11">#REF!</definedName>
    <definedName name="_obl112" localSheetId="23">#REF!</definedName>
    <definedName name="_obl112" localSheetId="24">#REF!</definedName>
    <definedName name="_obl112" localSheetId="22">#REF!</definedName>
    <definedName name="_obl112" localSheetId="25">#REF!</definedName>
    <definedName name="_obl112" localSheetId="12">#REF!</definedName>
    <definedName name="_obl112" localSheetId="14">#REF!</definedName>
    <definedName name="_obl112" localSheetId="19">#REF!</definedName>
    <definedName name="_obl112" localSheetId="30">#REF!</definedName>
    <definedName name="_obl112" localSheetId="31">#REF!</definedName>
    <definedName name="_obl112" localSheetId="32">#REF!</definedName>
    <definedName name="_obl112" localSheetId="35">#REF!</definedName>
    <definedName name="_obl112" localSheetId="34">#REF!</definedName>
    <definedName name="_obl112" localSheetId="39">#REF!</definedName>
    <definedName name="_obl112" localSheetId="40">#REF!</definedName>
    <definedName name="_obl112" localSheetId="41">#REF!</definedName>
    <definedName name="_obl112" localSheetId="42">#REF!</definedName>
    <definedName name="_obl112" localSheetId="48">#REF!</definedName>
    <definedName name="_obl112" localSheetId="49">#REF!</definedName>
    <definedName name="_obl112" localSheetId="44">#REF!</definedName>
    <definedName name="_obl112" localSheetId="45">#REF!</definedName>
    <definedName name="_obl112" localSheetId="46">#REF!</definedName>
    <definedName name="_obl112" localSheetId="47">#REF!</definedName>
    <definedName name="_obl112" localSheetId="33">#REF!</definedName>
    <definedName name="_obl112" localSheetId="43">#REF!</definedName>
    <definedName name="_obl112">#REF!</definedName>
    <definedName name="_obl12" localSheetId="10">#REF!</definedName>
    <definedName name="_obl12" localSheetId="11">#REF!</definedName>
    <definedName name="_obl12" localSheetId="23">#REF!</definedName>
    <definedName name="_obl12" localSheetId="24">#REF!</definedName>
    <definedName name="_obl12" localSheetId="22">#REF!</definedName>
    <definedName name="_obl12" localSheetId="25">#REF!</definedName>
    <definedName name="_obl12" localSheetId="29">#REF!</definedName>
    <definedName name="_obl12" localSheetId="27">#REF!</definedName>
    <definedName name="_obl12" localSheetId="28">#REF!</definedName>
    <definedName name="_obl12" localSheetId="12">#REF!</definedName>
    <definedName name="_obl12" localSheetId="14">#REF!</definedName>
    <definedName name="_obl12" localSheetId="19">#REF!</definedName>
    <definedName name="_obl12" localSheetId="30">#REF!</definedName>
    <definedName name="_obl12" localSheetId="31">#REF!</definedName>
    <definedName name="_obl12" localSheetId="32">#REF!</definedName>
    <definedName name="_obl12" localSheetId="36">#REF!</definedName>
    <definedName name="_obl12" localSheetId="35">#REF!</definedName>
    <definedName name="_obl12" localSheetId="34">#REF!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2">#REF!</definedName>
    <definedName name="_obl12" localSheetId="48">#REF!</definedName>
    <definedName name="_obl12" localSheetId="49">#REF!</definedName>
    <definedName name="_obl12" localSheetId="44">#REF!</definedName>
    <definedName name="_obl12" localSheetId="45">#REF!</definedName>
    <definedName name="_obl12" localSheetId="46">#REF!</definedName>
    <definedName name="_obl12" localSheetId="47">#REF!</definedName>
    <definedName name="_obl12" localSheetId="33">#REF!</definedName>
    <definedName name="_obl12" localSheetId="43">#REF!</definedName>
    <definedName name="_obl12">#REF!</definedName>
    <definedName name="_obl13" localSheetId="10">#REF!</definedName>
    <definedName name="_obl13" localSheetId="11">#REF!</definedName>
    <definedName name="_obl13" localSheetId="23">#REF!</definedName>
    <definedName name="_obl13" localSheetId="24">#REF!</definedName>
    <definedName name="_obl13" localSheetId="22">#REF!</definedName>
    <definedName name="_obl13" localSheetId="25">#REF!</definedName>
    <definedName name="_obl13" localSheetId="29">#REF!</definedName>
    <definedName name="_obl13" localSheetId="27">#REF!</definedName>
    <definedName name="_obl13" localSheetId="28">#REF!</definedName>
    <definedName name="_obl13" localSheetId="12">#REF!</definedName>
    <definedName name="_obl13" localSheetId="14">#REF!</definedName>
    <definedName name="_obl13" localSheetId="19">#REF!</definedName>
    <definedName name="_obl13" localSheetId="30">#REF!</definedName>
    <definedName name="_obl13" localSheetId="31">#REF!</definedName>
    <definedName name="_obl13" localSheetId="32">#REF!</definedName>
    <definedName name="_obl13" localSheetId="36">#REF!</definedName>
    <definedName name="_obl13" localSheetId="35">#REF!</definedName>
    <definedName name="_obl13" localSheetId="34">#REF!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2">#REF!</definedName>
    <definedName name="_obl13" localSheetId="48">#REF!</definedName>
    <definedName name="_obl13" localSheetId="49">#REF!</definedName>
    <definedName name="_obl13" localSheetId="44">#REF!</definedName>
    <definedName name="_obl13" localSheetId="45">#REF!</definedName>
    <definedName name="_obl13" localSheetId="46">#REF!</definedName>
    <definedName name="_obl13" localSheetId="47">#REF!</definedName>
    <definedName name="_obl13">#REF!</definedName>
    <definedName name="_obl14" localSheetId="10">#REF!</definedName>
    <definedName name="_obl14" localSheetId="11">#REF!</definedName>
    <definedName name="_obl14" localSheetId="23">#REF!</definedName>
    <definedName name="_obl14" localSheetId="24">#REF!</definedName>
    <definedName name="_obl14" localSheetId="22">#REF!</definedName>
    <definedName name="_obl14" localSheetId="25">#REF!</definedName>
    <definedName name="_obl14" localSheetId="29">#REF!</definedName>
    <definedName name="_obl14" localSheetId="27">#REF!</definedName>
    <definedName name="_obl14" localSheetId="28">#REF!</definedName>
    <definedName name="_obl14" localSheetId="12">#REF!</definedName>
    <definedName name="_obl14" localSheetId="14">#REF!</definedName>
    <definedName name="_obl14" localSheetId="19">#REF!</definedName>
    <definedName name="_obl14" localSheetId="30">#REF!</definedName>
    <definedName name="_obl14" localSheetId="31">#REF!</definedName>
    <definedName name="_obl14" localSheetId="32">#REF!</definedName>
    <definedName name="_obl14" localSheetId="36">#REF!</definedName>
    <definedName name="_obl14" localSheetId="35">#REF!</definedName>
    <definedName name="_obl14" localSheetId="34">#REF!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2">#REF!</definedName>
    <definedName name="_obl14" localSheetId="48">#REF!</definedName>
    <definedName name="_obl14" localSheetId="49">#REF!</definedName>
    <definedName name="_obl14" localSheetId="44">#REF!</definedName>
    <definedName name="_obl14" localSheetId="45">#REF!</definedName>
    <definedName name="_obl14" localSheetId="46">#REF!</definedName>
    <definedName name="_obl14" localSheetId="47">#REF!</definedName>
    <definedName name="_obl14">#REF!</definedName>
    <definedName name="_obl15" localSheetId="10">#REF!</definedName>
    <definedName name="_obl15" localSheetId="11">#REF!</definedName>
    <definedName name="_obl15" localSheetId="23">#REF!</definedName>
    <definedName name="_obl15" localSheetId="24">#REF!</definedName>
    <definedName name="_obl15" localSheetId="22">#REF!</definedName>
    <definedName name="_obl15" localSheetId="25">#REF!</definedName>
    <definedName name="_obl15" localSheetId="29">#REF!</definedName>
    <definedName name="_obl15" localSheetId="27">#REF!</definedName>
    <definedName name="_obl15" localSheetId="28">#REF!</definedName>
    <definedName name="_obl15" localSheetId="12">#REF!</definedName>
    <definedName name="_obl15" localSheetId="14">#REF!</definedName>
    <definedName name="_obl15" localSheetId="19">#REF!</definedName>
    <definedName name="_obl15" localSheetId="30">#REF!</definedName>
    <definedName name="_obl15" localSheetId="31">#REF!</definedName>
    <definedName name="_obl15" localSheetId="32">#REF!</definedName>
    <definedName name="_obl15" localSheetId="36">#REF!</definedName>
    <definedName name="_obl15" localSheetId="35">#REF!</definedName>
    <definedName name="_obl15" localSheetId="34">#REF!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2">#REF!</definedName>
    <definedName name="_obl15" localSheetId="48">#REF!</definedName>
    <definedName name="_obl15" localSheetId="49">#REF!</definedName>
    <definedName name="_obl15" localSheetId="44">#REF!</definedName>
    <definedName name="_obl15" localSheetId="45">#REF!</definedName>
    <definedName name="_obl15" localSheetId="46">#REF!</definedName>
    <definedName name="_obl15" localSheetId="47">#REF!</definedName>
    <definedName name="_obl15">#REF!</definedName>
    <definedName name="_obl16" localSheetId="10">#REF!</definedName>
    <definedName name="_obl16" localSheetId="11">#REF!</definedName>
    <definedName name="_obl16" localSheetId="23">#REF!</definedName>
    <definedName name="_obl16" localSheetId="24">#REF!</definedName>
    <definedName name="_obl16" localSheetId="22">#REF!</definedName>
    <definedName name="_obl16" localSheetId="25">#REF!</definedName>
    <definedName name="_obl16" localSheetId="29">#REF!</definedName>
    <definedName name="_obl16" localSheetId="27">#REF!</definedName>
    <definedName name="_obl16" localSheetId="28">#REF!</definedName>
    <definedName name="_obl16" localSheetId="12">#REF!</definedName>
    <definedName name="_obl16" localSheetId="14">#REF!</definedName>
    <definedName name="_obl16" localSheetId="19">#REF!</definedName>
    <definedName name="_obl16" localSheetId="30">#REF!</definedName>
    <definedName name="_obl16" localSheetId="31">#REF!</definedName>
    <definedName name="_obl16" localSheetId="32">#REF!</definedName>
    <definedName name="_obl16" localSheetId="36">#REF!</definedName>
    <definedName name="_obl16" localSheetId="35">#REF!</definedName>
    <definedName name="_obl16" localSheetId="34">#REF!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2">#REF!</definedName>
    <definedName name="_obl16" localSheetId="48">#REF!</definedName>
    <definedName name="_obl16" localSheetId="49">#REF!</definedName>
    <definedName name="_obl16" localSheetId="44">#REF!</definedName>
    <definedName name="_obl16" localSheetId="45">#REF!</definedName>
    <definedName name="_obl16" localSheetId="46">#REF!</definedName>
    <definedName name="_obl16" localSheetId="47">#REF!</definedName>
    <definedName name="_obl16">#REF!</definedName>
    <definedName name="_obl17" localSheetId="10">#REF!</definedName>
    <definedName name="_obl17" localSheetId="11">#REF!</definedName>
    <definedName name="_obl17" localSheetId="23">#REF!</definedName>
    <definedName name="_obl17" localSheetId="24">#REF!</definedName>
    <definedName name="_obl17" localSheetId="22">#REF!</definedName>
    <definedName name="_obl17" localSheetId="25">#REF!</definedName>
    <definedName name="_obl17" localSheetId="29">#REF!</definedName>
    <definedName name="_obl17" localSheetId="27">#REF!</definedName>
    <definedName name="_obl17" localSheetId="28">#REF!</definedName>
    <definedName name="_obl17" localSheetId="12">#REF!</definedName>
    <definedName name="_obl17" localSheetId="14">#REF!</definedName>
    <definedName name="_obl17" localSheetId="19">#REF!</definedName>
    <definedName name="_obl17" localSheetId="30">#REF!</definedName>
    <definedName name="_obl17" localSheetId="31">#REF!</definedName>
    <definedName name="_obl17" localSheetId="32">#REF!</definedName>
    <definedName name="_obl17" localSheetId="36">#REF!</definedName>
    <definedName name="_obl17" localSheetId="35">#REF!</definedName>
    <definedName name="_obl17" localSheetId="34">#REF!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2">#REF!</definedName>
    <definedName name="_obl17" localSheetId="48">#REF!</definedName>
    <definedName name="_obl17" localSheetId="49">#REF!</definedName>
    <definedName name="_obl17" localSheetId="44">#REF!</definedName>
    <definedName name="_obl17" localSheetId="45">#REF!</definedName>
    <definedName name="_obl17" localSheetId="46">#REF!</definedName>
    <definedName name="_obl17" localSheetId="47">#REF!</definedName>
    <definedName name="_obl17">#REF!</definedName>
    <definedName name="_obl1710" localSheetId="10">#REF!</definedName>
    <definedName name="_obl1710" localSheetId="11">#REF!</definedName>
    <definedName name="_obl1710" localSheetId="23">#REF!</definedName>
    <definedName name="_obl1710" localSheetId="24">#REF!</definedName>
    <definedName name="_obl1710" localSheetId="22">#REF!</definedName>
    <definedName name="_obl1710" localSheetId="25">#REF!</definedName>
    <definedName name="_obl1710" localSheetId="29">#REF!</definedName>
    <definedName name="_obl1710" localSheetId="27">#REF!</definedName>
    <definedName name="_obl1710" localSheetId="28">#REF!</definedName>
    <definedName name="_obl1710" localSheetId="12">#REF!</definedName>
    <definedName name="_obl1710" localSheetId="14">#REF!</definedName>
    <definedName name="_obl1710" localSheetId="19">#REF!</definedName>
    <definedName name="_obl1710" localSheetId="30">#REF!</definedName>
    <definedName name="_obl1710" localSheetId="31">#REF!</definedName>
    <definedName name="_obl1710" localSheetId="32">#REF!</definedName>
    <definedName name="_obl1710" localSheetId="36">#REF!</definedName>
    <definedName name="_obl1710" localSheetId="35">#REF!</definedName>
    <definedName name="_obl1710" localSheetId="34">#REF!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2">#REF!</definedName>
    <definedName name="_obl1710" localSheetId="48">#REF!</definedName>
    <definedName name="_obl1710" localSheetId="49">#REF!</definedName>
    <definedName name="_obl1710" localSheetId="44">#REF!</definedName>
    <definedName name="_obl1710" localSheetId="45">#REF!</definedName>
    <definedName name="_obl1710" localSheetId="46">#REF!</definedName>
    <definedName name="_obl1710" localSheetId="47">#REF!</definedName>
    <definedName name="_obl1710">#REF!</definedName>
    <definedName name="_obl1711" localSheetId="10">#REF!</definedName>
    <definedName name="_obl1711" localSheetId="11">#REF!</definedName>
    <definedName name="_obl1711" localSheetId="23">#REF!</definedName>
    <definedName name="_obl1711" localSheetId="24">#REF!</definedName>
    <definedName name="_obl1711" localSheetId="22">#REF!</definedName>
    <definedName name="_obl1711" localSheetId="25">#REF!</definedName>
    <definedName name="_obl1711" localSheetId="29">#REF!</definedName>
    <definedName name="_obl1711" localSheetId="27">#REF!</definedName>
    <definedName name="_obl1711" localSheetId="28">#REF!</definedName>
    <definedName name="_obl1711" localSheetId="12">#REF!</definedName>
    <definedName name="_obl1711" localSheetId="14">#REF!</definedName>
    <definedName name="_obl1711" localSheetId="19">#REF!</definedName>
    <definedName name="_obl1711" localSheetId="30">#REF!</definedName>
    <definedName name="_obl1711" localSheetId="31">#REF!</definedName>
    <definedName name="_obl1711" localSheetId="32">#REF!</definedName>
    <definedName name="_obl1711" localSheetId="36">#REF!</definedName>
    <definedName name="_obl1711" localSheetId="35">#REF!</definedName>
    <definedName name="_obl1711" localSheetId="34">#REF!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2">#REF!</definedName>
    <definedName name="_obl1711" localSheetId="48">#REF!</definedName>
    <definedName name="_obl1711" localSheetId="49">#REF!</definedName>
    <definedName name="_obl1711" localSheetId="44">#REF!</definedName>
    <definedName name="_obl1711" localSheetId="45">#REF!</definedName>
    <definedName name="_obl1711" localSheetId="46">#REF!</definedName>
    <definedName name="_obl1711" localSheetId="47">#REF!</definedName>
    <definedName name="_obl1711">#REF!</definedName>
    <definedName name="_obl1712" localSheetId="10">#REF!</definedName>
    <definedName name="_obl1712" localSheetId="11">#REF!</definedName>
    <definedName name="_obl1712" localSheetId="23">#REF!</definedName>
    <definedName name="_obl1712" localSheetId="24">#REF!</definedName>
    <definedName name="_obl1712" localSheetId="22">#REF!</definedName>
    <definedName name="_obl1712" localSheetId="25">#REF!</definedName>
    <definedName name="_obl1712" localSheetId="29">#REF!</definedName>
    <definedName name="_obl1712" localSheetId="27">#REF!</definedName>
    <definedName name="_obl1712" localSheetId="28">#REF!</definedName>
    <definedName name="_obl1712" localSheetId="12">#REF!</definedName>
    <definedName name="_obl1712" localSheetId="14">#REF!</definedName>
    <definedName name="_obl1712" localSheetId="19">#REF!</definedName>
    <definedName name="_obl1712" localSheetId="30">#REF!</definedName>
    <definedName name="_obl1712" localSheetId="31">#REF!</definedName>
    <definedName name="_obl1712" localSheetId="32">#REF!</definedName>
    <definedName name="_obl1712" localSheetId="36">#REF!</definedName>
    <definedName name="_obl1712" localSheetId="35">#REF!</definedName>
    <definedName name="_obl1712" localSheetId="34">#REF!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2">#REF!</definedName>
    <definedName name="_obl1712" localSheetId="48">#REF!</definedName>
    <definedName name="_obl1712" localSheetId="49">#REF!</definedName>
    <definedName name="_obl1712" localSheetId="44">#REF!</definedName>
    <definedName name="_obl1712" localSheetId="45">#REF!</definedName>
    <definedName name="_obl1712" localSheetId="46">#REF!</definedName>
    <definedName name="_obl1712" localSheetId="47">#REF!</definedName>
    <definedName name="_obl1712">#REF!</definedName>
    <definedName name="_obl1713" localSheetId="10">#REF!</definedName>
    <definedName name="_obl1713" localSheetId="11">#REF!</definedName>
    <definedName name="_obl1713" localSheetId="23">#REF!</definedName>
    <definedName name="_obl1713" localSheetId="24">#REF!</definedName>
    <definedName name="_obl1713" localSheetId="22">#REF!</definedName>
    <definedName name="_obl1713" localSheetId="25">#REF!</definedName>
    <definedName name="_obl1713" localSheetId="29">#REF!</definedName>
    <definedName name="_obl1713" localSheetId="27">#REF!</definedName>
    <definedName name="_obl1713" localSheetId="28">#REF!</definedName>
    <definedName name="_obl1713" localSheetId="12">#REF!</definedName>
    <definedName name="_obl1713" localSheetId="14">#REF!</definedName>
    <definedName name="_obl1713" localSheetId="19">#REF!</definedName>
    <definedName name="_obl1713" localSheetId="30">#REF!</definedName>
    <definedName name="_obl1713" localSheetId="31">#REF!</definedName>
    <definedName name="_obl1713" localSheetId="32">#REF!</definedName>
    <definedName name="_obl1713" localSheetId="36">#REF!</definedName>
    <definedName name="_obl1713" localSheetId="35">#REF!</definedName>
    <definedName name="_obl1713" localSheetId="34">#REF!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2">#REF!</definedName>
    <definedName name="_obl1713" localSheetId="48">#REF!</definedName>
    <definedName name="_obl1713" localSheetId="49">#REF!</definedName>
    <definedName name="_obl1713" localSheetId="44">#REF!</definedName>
    <definedName name="_obl1713" localSheetId="45">#REF!</definedName>
    <definedName name="_obl1713" localSheetId="46">#REF!</definedName>
    <definedName name="_obl1713" localSheetId="47">#REF!</definedName>
    <definedName name="_obl1713">#REF!</definedName>
    <definedName name="_obl1714" localSheetId="10">#REF!</definedName>
    <definedName name="_obl1714" localSheetId="11">#REF!</definedName>
    <definedName name="_obl1714" localSheetId="23">#REF!</definedName>
    <definedName name="_obl1714" localSheetId="24">#REF!</definedName>
    <definedName name="_obl1714" localSheetId="22">#REF!</definedName>
    <definedName name="_obl1714" localSheetId="25">#REF!</definedName>
    <definedName name="_obl1714" localSheetId="29">#REF!</definedName>
    <definedName name="_obl1714" localSheetId="27">#REF!</definedName>
    <definedName name="_obl1714" localSheetId="28">#REF!</definedName>
    <definedName name="_obl1714" localSheetId="12">#REF!</definedName>
    <definedName name="_obl1714" localSheetId="14">#REF!</definedName>
    <definedName name="_obl1714" localSheetId="19">#REF!</definedName>
    <definedName name="_obl1714" localSheetId="30">#REF!</definedName>
    <definedName name="_obl1714" localSheetId="31">#REF!</definedName>
    <definedName name="_obl1714" localSheetId="32">#REF!</definedName>
    <definedName name="_obl1714" localSheetId="36">#REF!</definedName>
    <definedName name="_obl1714" localSheetId="35">#REF!</definedName>
    <definedName name="_obl1714" localSheetId="34">#REF!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2">#REF!</definedName>
    <definedName name="_obl1714" localSheetId="48">#REF!</definedName>
    <definedName name="_obl1714" localSheetId="49">#REF!</definedName>
    <definedName name="_obl1714" localSheetId="44">#REF!</definedName>
    <definedName name="_obl1714" localSheetId="45">#REF!</definedName>
    <definedName name="_obl1714" localSheetId="46">#REF!</definedName>
    <definedName name="_obl1714" localSheetId="47">#REF!</definedName>
    <definedName name="_obl1714">#REF!</definedName>
    <definedName name="_obl1715" localSheetId="10">#REF!</definedName>
    <definedName name="_obl1715" localSheetId="11">#REF!</definedName>
    <definedName name="_obl1715" localSheetId="23">#REF!</definedName>
    <definedName name="_obl1715" localSheetId="24">#REF!</definedName>
    <definedName name="_obl1715" localSheetId="22">#REF!</definedName>
    <definedName name="_obl1715" localSheetId="25">#REF!</definedName>
    <definedName name="_obl1715" localSheetId="29">#REF!</definedName>
    <definedName name="_obl1715" localSheetId="27">#REF!</definedName>
    <definedName name="_obl1715" localSheetId="28">#REF!</definedName>
    <definedName name="_obl1715" localSheetId="12">#REF!</definedName>
    <definedName name="_obl1715" localSheetId="14">#REF!</definedName>
    <definedName name="_obl1715" localSheetId="19">#REF!</definedName>
    <definedName name="_obl1715" localSheetId="30">#REF!</definedName>
    <definedName name="_obl1715" localSheetId="31">#REF!</definedName>
    <definedName name="_obl1715" localSheetId="32">#REF!</definedName>
    <definedName name="_obl1715" localSheetId="36">#REF!</definedName>
    <definedName name="_obl1715" localSheetId="35">#REF!</definedName>
    <definedName name="_obl1715" localSheetId="34">#REF!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2">#REF!</definedName>
    <definedName name="_obl1715" localSheetId="48">#REF!</definedName>
    <definedName name="_obl1715" localSheetId="49">#REF!</definedName>
    <definedName name="_obl1715" localSheetId="44">#REF!</definedName>
    <definedName name="_obl1715" localSheetId="45">#REF!</definedName>
    <definedName name="_obl1715" localSheetId="46">#REF!</definedName>
    <definedName name="_obl1715" localSheetId="47">#REF!</definedName>
    <definedName name="_obl1715">#REF!</definedName>
    <definedName name="_obl1716" localSheetId="10">#REF!</definedName>
    <definedName name="_obl1716" localSheetId="11">#REF!</definedName>
    <definedName name="_obl1716" localSheetId="23">#REF!</definedName>
    <definedName name="_obl1716" localSheetId="24">#REF!</definedName>
    <definedName name="_obl1716" localSheetId="22">#REF!</definedName>
    <definedName name="_obl1716" localSheetId="25">#REF!</definedName>
    <definedName name="_obl1716" localSheetId="29">#REF!</definedName>
    <definedName name="_obl1716" localSheetId="27">#REF!</definedName>
    <definedName name="_obl1716" localSheetId="28">#REF!</definedName>
    <definedName name="_obl1716" localSheetId="12">#REF!</definedName>
    <definedName name="_obl1716" localSheetId="14">#REF!</definedName>
    <definedName name="_obl1716" localSheetId="19">#REF!</definedName>
    <definedName name="_obl1716" localSheetId="30">#REF!</definedName>
    <definedName name="_obl1716" localSheetId="31">#REF!</definedName>
    <definedName name="_obl1716" localSheetId="32">#REF!</definedName>
    <definedName name="_obl1716" localSheetId="36">#REF!</definedName>
    <definedName name="_obl1716" localSheetId="35">#REF!</definedName>
    <definedName name="_obl1716" localSheetId="34">#REF!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2">#REF!</definedName>
    <definedName name="_obl1716" localSheetId="48">#REF!</definedName>
    <definedName name="_obl1716" localSheetId="49">#REF!</definedName>
    <definedName name="_obl1716" localSheetId="44">#REF!</definedName>
    <definedName name="_obl1716" localSheetId="45">#REF!</definedName>
    <definedName name="_obl1716" localSheetId="46">#REF!</definedName>
    <definedName name="_obl1716" localSheetId="47">#REF!</definedName>
    <definedName name="_obl1716">#REF!</definedName>
    <definedName name="_obl1717" localSheetId="10">#REF!</definedName>
    <definedName name="_obl1717" localSheetId="11">#REF!</definedName>
    <definedName name="_obl1717" localSheetId="23">#REF!</definedName>
    <definedName name="_obl1717" localSheetId="24">#REF!</definedName>
    <definedName name="_obl1717" localSheetId="22">#REF!</definedName>
    <definedName name="_obl1717" localSheetId="25">#REF!</definedName>
    <definedName name="_obl1717" localSheetId="29">#REF!</definedName>
    <definedName name="_obl1717" localSheetId="27">#REF!</definedName>
    <definedName name="_obl1717" localSheetId="28">#REF!</definedName>
    <definedName name="_obl1717" localSheetId="12">#REF!</definedName>
    <definedName name="_obl1717" localSheetId="14">#REF!</definedName>
    <definedName name="_obl1717" localSheetId="19">#REF!</definedName>
    <definedName name="_obl1717" localSheetId="30">#REF!</definedName>
    <definedName name="_obl1717" localSheetId="31">#REF!</definedName>
    <definedName name="_obl1717" localSheetId="32">#REF!</definedName>
    <definedName name="_obl1717" localSheetId="36">#REF!</definedName>
    <definedName name="_obl1717" localSheetId="35">#REF!</definedName>
    <definedName name="_obl1717" localSheetId="34">#REF!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2">#REF!</definedName>
    <definedName name="_obl1717" localSheetId="48">#REF!</definedName>
    <definedName name="_obl1717" localSheetId="49">#REF!</definedName>
    <definedName name="_obl1717" localSheetId="44">#REF!</definedName>
    <definedName name="_obl1717" localSheetId="45">#REF!</definedName>
    <definedName name="_obl1717" localSheetId="46">#REF!</definedName>
    <definedName name="_obl1717" localSheetId="47">#REF!</definedName>
    <definedName name="_obl1717">#REF!</definedName>
    <definedName name="_obl1718" localSheetId="10">#REF!</definedName>
    <definedName name="_obl1718" localSheetId="11">#REF!</definedName>
    <definedName name="_obl1718" localSheetId="23">#REF!</definedName>
    <definedName name="_obl1718" localSheetId="24">#REF!</definedName>
    <definedName name="_obl1718" localSheetId="22">#REF!</definedName>
    <definedName name="_obl1718" localSheetId="25">#REF!</definedName>
    <definedName name="_obl1718" localSheetId="29">#REF!</definedName>
    <definedName name="_obl1718" localSheetId="27">#REF!</definedName>
    <definedName name="_obl1718" localSheetId="28">#REF!</definedName>
    <definedName name="_obl1718" localSheetId="12">#REF!</definedName>
    <definedName name="_obl1718" localSheetId="14">#REF!</definedName>
    <definedName name="_obl1718" localSheetId="19">#REF!</definedName>
    <definedName name="_obl1718" localSheetId="30">#REF!</definedName>
    <definedName name="_obl1718" localSheetId="31">#REF!</definedName>
    <definedName name="_obl1718" localSheetId="32">#REF!</definedName>
    <definedName name="_obl1718" localSheetId="36">#REF!</definedName>
    <definedName name="_obl1718" localSheetId="35">#REF!</definedName>
    <definedName name="_obl1718" localSheetId="34">#REF!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2">#REF!</definedName>
    <definedName name="_obl1718" localSheetId="48">#REF!</definedName>
    <definedName name="_obl1718" localSheetId="49">#REF!</definedName>
    <definedName name="_obl1718" localSheetId="44">#REF!</definedName>
    <definedName name="_obl1718" localSheetId="45">#REF!</definedName>
    <definedName name="_obl1718" localSheetId="46">#REF!</definedName>
    <definedName name="_obl1718" localSheetId="47">#REF!</definedName>
    <definedName name="_obl1718">#REF!</definedName>
    <definedName name="_obl1719" localSheetId="10">#REF!</definedName>
    <definedName name="_obl1719" localSheetId="11">#REF!</definedName>
    <definedName name="_obl1719" localSheetId="23">#REF!</definedName>
    <definedName name="_obl1719" localSheetId="24">#REF!</definedName>
    <definedName name="_obl1719" localSheetId="22">#REF!</definedName>
    <definedName name="_obl1719" localSheetId="25">#REF!</definedName>
    <definedName name="_obl1719" localSheetId="29">#REF!</definedName>
    <definedName name="_obl1719" localSheetId="27">#REF!</definedName>
    <definedName name="_obl1719" localSheetId="28">#REF!</definedName>
    <definedName name="_obl1719" localSheetId="12">#REF!</definedName>
    <definedName name="_obl1719" localSheetId="14">#REF!</definedName>
    <definedName name="_obl1719" localSheetId="19">#REF!</definedName>
    <definedName name="_obl1719" localSheetId="30">#REF!</definedName>
    <definedName name="_obl1719" localSheetId="31">#REF!</definedName>
    <definedName name="_obl1719" localSheetId="32">#REF!</definedName>
    <definedName name="_obl1719" localSheetId="36">#REF!</definedName>
    <definedName name="_obl1719" localSheetId="35">#REF!</definedName>
    <definedName name="_obl1719" localSheetId="34">#REF!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2">#REF!</definedName>
    <definedName name="_obl1719" localSheetId="48">#REF!</definedName>
    <definedName name="_obl1719" localSheetId="49">#REF!</definedName>
    <definedName name="_obl1719" localSheetId="44">#REF!</definedName>
    <definedName name="_obl1719" localSheetId="45">#REF!</definedName>
    <definedName name="_obl1719" localSheetId="46">#REF!</definedName>
    <definedName name="_obl1719" localSheetId="47">#REF!</definedName>
    <definedName name="_obl1719">#REF!</definedName>
    <definedName name="_obl173" localSheetId="10">#REF!</definedName>
    <definedName name="_obl173" localSheetId="11">#REF!</definedName>
    <definedName name="_obl173" localSheetId="23">#REF!</definedName>
    <definedName name="_obl173" localSheetId="24">#REF!</definedName>
    <definedName name="_obl173" localSheetId="22">#REF!</definedName>
    <definedName name="_obl173" localSheetId="25">#REF!</definedName>
    <definedName name="_obl173" localSheetId="29">#REF!</definedName>
    <definedName name="_obl173" localSheetId="27">#REF!</definedName>
    <definedName name="_obl173" localSheetId="28">#REF!</definedName>
    <definedName name="_obl173" localSheetId="12">#REF!</definedName>
    <definedName name="_obl173" localSheetId="14">#REF!</definedName>
    <definedName name="_obl173" localSheetId="19">#REF!</definedName>
    <definedName name="_obl173" localSheetId="30">#REF!</definedName>
    <definedName name="_obl173" localSheetId="31">#REF!</definedName>
    <definedName name="_obl173" localSheetId="32">#REF!</definedName>
    <definedName name="_obl173" localSheetId="36">#REF!</definedName>
    <definedName name="_obl173" localSheetId="35">#REF!</definedName>
    <definedName name="_obl173" localSheetId="34">#REF!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2">#REF!</definedName>
    <definedName name="_obl173" localSheetId="48">#REF!</definedName>
    <definedName name="_obl173" localSheetId="49">#REF!</definedName>
    <definedName name="_obl173" localSheetId="44">#REF!</definedName>
    <definedName name="_obl173" localSheetId="45">#REF!</definedName>
    <definedName name="_obl173" localSheetId="46">#REF!</definedName>
    <definedName name="_obl173" localSheetId="47">#REF!</definedName>
    <definedName name="_obl173">#REF!</definedName>
    <definedName name="_obl174" localSheetId="10">#REF!</definedName>
    <definedName name="_obl174" localSheetId="11">#REF!</definedName>
    <definedName name="_obl174" localSheetId="23">#REF!</definedName>
    <definedName name="_obl174" localSheetId="24">#REF!</definedName>
    <definedName name="_obl174" localSheetId="22">#REF!</definedName>
    <definedName name="_obl174" localSheetId="25">#REF!</definedName>
    <definedName name="_obl174" localSheetId="29">#REF!</definedName>
    <definedName name="_obl174" localSheetId="27">#REF!</definedName>
    <definedName name="_obl174" localSheetId="28">#REF!</definedName>
    <definedName name="_obl174" localSheetId="12">#REF!</definedName>
    <definedName name="_obl174" localSheetId="14">#REF!</definedName>
    <definedName name="_obl174" localSheetId="19">#REF!</definedName>
    <definedName name="_obl174" localSheetId="30">#REF!</definedName>
    <definedName name="_obl174" localSheetId="31">#REF!</definedName>
    <definedName name="_obl174" localSheetId="32">#REF!</definedName>
    <definedName name="_obl174" localSheetId="36">#REF!</definedName>
    <definedName name="_obl174" localSheetId="35">#REF!</definedName>
    <definedName name="_obl174" localSheetId="34">#REF!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2">#REF!</definedName>
    <definedName name="_obl174" localSheetId="48">#REF!</definedName>
    <definedName name="_obl174" localSheetId="49">#REF!</definedName>
    <definedName name="_obl174" localSheetId="44">#REF!</definedName>
    <definedName name="_obl174" localSheetId="45">#REF!</definedName>
    <definedName name="_obl174" localSheetId="46">#REF!</definedName>
    <definedName name="_obl174" localSheetId="47">#REF!</definedName>
    <definedName name="_obl174">#REF!</definedName>
    <definedName name="_obl175" localSheetId="10">#REF!</definedName>
    <definedName name="_obl175" localSheetId="11">#REF!</definedName>
    <definedName name="_obl175" localSheetId="23">#REF!</definedName>
    <definedName name="_obl175" localSheetId="24">#REF!</definedName>
    <definedName name="_obl175" localSheetId="22">#REF!</definedName>
    <definedName name="_obl175" localSheetId="25">#REF!</definedName>
    <definedName name="_obl175" localSheetId="29">#REF!</definedName>
    <definedName name="_obl175" localSheetId="27">#REF!</definedName>
    <definedName name="_obl175" localSheetId="28">#REF!</definedName>
    <definedName name="_obl175" localSheetId="12">#REF!</definedName>
    <definedName name="_obl175" localSheetId="14">#REF!</definedName>
    <definedName name="_obl175" localSheetId="19">#REF!</definedName>
    <definedName name="_obl175" localSheetId="30">#REF!</definedName>
    <definedName name="_obl175" localSheetId="31">#REF!</definedName>
    <definedName name="_obl175" localSheetId="32">#REF!</definedName>
    <definedName name="_obl175" localSheetId="36">#REF!</definedName>
    <definedName name="_obl175" localSheetId="35">#REF!</definedName>
    <definedName name="_obl175" localSheetId="34">#REF!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2">#REF!</definedName>
    <definedName name="_obl175" localSheetId="48">#REF!</definedName>
    <definedName name="_obl175" localSheetId="49">#REF!</definedName>
    <definedName name="_obl175" localSheetId="44">#REF!</definedName>
    <definedName name="_obl175" localSheetId="45">#REF!</definedName>
    <definedName name="_obl175" localSheetId="46">#REF!</definedName>
    <definedName name="_obl175" localSheetId="47">#REF!</definedName>
    <definedName name="_obl175">#REF!</definedName>
    <definedName name="_obl176" localSheetId="10">#REF!</definedName>
    <definedName name="_obl176" localSheetId="11">#REF!</definedName>
    <definedName name="_obl176" localSheetId="23">#REF!</definedName>
    <definedName name="_obl176" localSheetId="24">#REF!</definedName>
    <definedName name="_obl176" localSheetId="22">#REF!</definedName>
    <definedName name="_obl176" localSheetId="25">#REF!</definedName>
    <definedName name="_obl176" localSheetId="29">#REF!</definedName>
    <definedName name="_obl176" localSheetId="27">#REF!</definedName>
    <definedName name="_obl176" localSheetId="28">#REF!</definedName>
    <definedName name="_obl176" localSheetId="12">#REF!</definedName>
    <definedName name="_obl176" localSheetId="14">#REF!</definedName>
    <definedName name="_obl176" localSheetId="19">#REF!</definedName>
    <definedName name="_obl176" localSheetId="30">#REF!</definedName>
    <definedName name="_obl176" localSheetId="31">#REF!</definedName>
    <definedName name="_obl176" localSheetId="32">#REF!</definedName>
    <definedName name="_obl176" localSheetId="36">#REF!</definedName>
    <definedName name="_obl176" localSheetId="35">#REF!</definedName>
    <definedName name="_obl176" localSheetId="34">#REF!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2">#REF!</definedName>
    <definedName name="_obl176" localSheetId="48">#REF!</definedName>
    <definedName name="_obl176" localSheetId="49">#REF!</definedName>
    <definedName name="_obl176" localSheetId="44">#REF!</definedName>
    <definedName name="_obl176" localSheetId="45">#REF!</definedName>
    <definedName name="_obl176" localSheetId="46">#REF!</definedName>
    <definedName name="_obl176" localSheetId="47">#REF!</definedName>
    <definedName name="_obl176">#REF!</definedName>
    <definedName name="_obl177" localSheetId="10">#REF!</definedName>
    <definedName name="_obl177" localSheetId="11">#REF!</definedName>
    <definedName name="_obl177" localSheetId="23">#REF!</definedName>
    <definedName name="_obl177" localSheetId="24">#REF!</definedName>
    <definedName name="_obl177" localSheetId="22">#REF!</definedName>
    <definedName name="_obl177" localSheetId="25">#REF!</definedName>
    <definedName name="_obl177" localSheetId="29">#REF!</definedName>
    <definedName name="_obl177" localSheetId="27">#REF!</definedName>
    <definedName name="_obl177" localSheetId="28">#REF!</definedName>
    <definedName name="_obl177" localSheetId="12">#REF!</definedName>
    <definedName name="_obl177" localSheetId="14">#REF!</definedName>
    <definedName name="_obl177" localSheetId="19">#REF!</definedName>
    <definedName name="_obl177" localSheetId="30">#REF!</definedName>
    <definedName name="_obl177" localSheetId="31">#REF!</definedName>
    <definedName name="_obl177" localSheetId="32">#REF!</definedName>
    <definedName name="_obl177" localSheetId="36">#REF!</definedName>
    <definedName name="_obl177" localSheetId="35">#REF!</definedName>
    <definedName name="_obl177" localSheetId="34">#REF!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2">#REF!</definedName>
    <definedName name="_obl177" localSheetId="48">#REF!</definedName>
    <definedName name="_obl177" localSheetId="49">#REF!</definedName>
    <definedName name="_obl177" localSheetId="44">#REF!</definedName>
    <definedName name="_obl177" localSheetId="45">#REF!</definedName>
    <definedName name="_obl177" localSheetId="46">#REF!</definedName>
    <definedName name="_obl177" localSheetId="47">#REF!</definedName>
    <definedName name="_obl177">#REF!</definedName>
    <definedName name="_obl178" localSheetId="10">#REF!</definedName>
    <definedName name="_obl178" localSheetId="11">#REF!</definedName>
    <definedName name="_obl178" localSheetId="23">#REF!</definedName>
    <definedName name="_obl178" localSheetId="24">#REF!</definedName>
    <definedName name="_obl178" localSheetId="22">#REF!</definedName>
    <definedName name="_obl178" localSheetId="25">#REF!</definedName>
    <definedName name="_obl178" localSheetId="29">#REF!</definedName>
    <definedName name="_obl178" localSheetId="27">#REF!</definedName>
    <definedName name="_obl178" localSheetId="28">#REF!</definedName>
    <definedName name="_obl178" localSheetId="12">#REF!</definedName>
    <definedName name="_obl178" localSheetId="14">#REF!</definedName>
    <definedName name="_obl178" localSheetId="19">#REF!</definedName>
    <definedName name="_obl178" localSheetId="30">#REF!</definedName>
    <definedName name="_obl178" localSheetId="31">#REF!</definedName>
    <definedName name="_obl178" localSheetId="32">#REF!</definedName>
    <definedName name="_obl178" localSheetId="36">#REF!</definedName>
    <definedName name="_obl178" localSheetId="35">#REF!</definedName>
    <definedName name="_obl178" localSheetId="34">#REF!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2">#REF!</definedName>
    <definedName name="_obl178" localSheetId="48">#REF!</definedName>
    <definedName name="_obl178" localSheetId="49">#REF!</definedName>
    <definedName name="_obl178" localSheetId="44">#REF!</definedName>
    <definedName name="_obl178" localSheetId="45">#REF!</definedName>
    <definedName name="_obl178" localSheetId="46">#REF!</definedName>
    <definedName name="_obl178" localSheetId="47">#REF!</definedName>
    <definedName name="_obl178">#REF!</definedName>
    <definedName name="_obl179" localSheetId="10">#REF!</definedName>
    <definedName name="_obl179" localSheetId="11">#REF!</definedName>
    <definedName name="_obl179" localSheetId="23">#REF!</definedName>
    <definedName name="_obl179" localSheetId="24">#REF!</definedName>
    <definedName name="_obl179" localSheetId="22">#REF!</definedName>
    <definedName name="_obl179" localSheetId="25">#REF!</definedName>
    <definedName name="_obl179" localSheetId="29">#REF!</definedName>
    <definedName name="_obl179" localSheetId="27">#REF!</definedName>
    <definedName name="_obl179" localSheetId="28">#REF!</definedName>
    <definedName name="_obl179" localSheetId="12">#REF!</definedName>
    <definedName name="_obl179" localSheetId="14">#REF!</definedName>
    <definedName name="_obl179" localSheetId="19">#REF!</definedName>
    <definedName name="_obl179" localSheetId="30">#REF!</definedName>
    <definedName name="_obl179" localSheetId="31">#REF!</definedName>
    <definedName name="_obl179" localSheetId="32">#REF!</definedName>
    <definedName name="_obl179" localSheetId="36">#REF!</definedName>
    <definedName name="_obl179" localSheetId="35">#REF!</definedName>
    <definedName name="_obl179" localSheetId="34">#REF!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2">#REF!</definedName>
    <definedName name="_obl179" localSheetId="48">#REF!</definedName>
    <definedName name="_obl179" localSheetId="49">#REF!</definedName>
    <definedName name="_obl179" localSheetId="44">#REF!</definedName>
    <definedName name="_obl179" localSheetId="45">#REF!</definedName>
    <definedName name="_obl179" localSheetId="46">#REF!</definedName>
    <definedName name="_obl179" localSheetId="47">#REF!</definedName>
    <definedName name="_obl179">#REF!</definedName>
    <definedName name="_obl18" localSheetId="10">#REF!</definedName>
    <definedName name="_obl18" localSheetId="11">#REF!</definedName>
    <definedName name="_obl18" localSheetId="23">#REF!</definedName>
    <definedName name="_obl18" localSheetId="24">#REF!</definedName>
    <definedName name="_obl18" localSheetId="22">#REF!</definedName>
    <definedName name="_obl18" localSheetId="25">#REF!</definedName>
    <definedName name="_obl18" localSheetId="29">#REF!</definedName>
    <definedName name="_obl18" localSheetId="27">#REF!</definedName>
    <definedName name="_obl18" localSheetId="28">#REF!</definedName>
    <definedName name="_obl18" localSheetId="12">#REF!</definedName>
    <definedName name="_obl18" localSheetId="14">#REF!</definedName>
    <definedName name="_obl18" localSheetId="19">#REF!</definedName>
    <definedName name="_obl18" localSheetId="30">#REF!</definedName>
    <definedName name="_obl18" localSheetId="31">#REF!</definedName>
    <definedName name="_obl18" localSheetId="32">#REF!</definedName>
    <definedName name="_obl18" localSheetId="36">#REF!</definedName>
    <definedName name="_obl18" localSheetId="35">#REF!</definedName>
    <definedName name="_obl18" localSheetId="34">#REF!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2">#REF!</definedName>
    <definedName name="_obl18" localSheetId="48">#REF!</definedName>
    <definedName name="_obl18" localSheetId="49">#REF!</definedName>
    <definedName name="_obl18" localSheetId="44">#REF!</definedName>
    <definedName name="_obl18" localSheetId="45">#REF!</definedName>
    <definedName name="_obl18" localSheetId="46">#REF!</definedName>
    <definedName name="_obl18" localSheetId="47">#REF!</definedName>
    <definedName name="_obl18">#REF!</definedName>
    <definedName name="_obl181" localSheetId="10">#REF!</definedName>
    <definedName name="_obl181" localSheetId="11">#REF!</definedName>
    <definedName name="_obl181" localSheetId="23">#REF!</definedName>
    <definedName name="_obl181" localSheetId="24">#REF!</definedName>
    <definedName name="_obl181" localSheetId="22">#REF!</definedName>
    <definedName name="_obl181" localSheetId="25">#REF!</definedName>
    <definedName name="_obl181" localSheetId="29">#REF!</definedName>
    <definedName name="_obl181" localSheetId="27">#REF!</definedName>
    <definedName name="_obl181" localSheetId="28">#REF!</definedName>
    <definedName name="_obl181" localSheetId="12">#REF!</definedName>
    <definedName name="_obl181" localSheetId="14">#REF!</definedName>
    <definedName name="_obl181" localSheetId="19">#REF!</definedName>
    <definedName name="_obl181" localSheetId="30">#REF!</definedName>
    <definedName name="_obl181" localSheetId="31">#REF!</definedName>
    <definedName name="_obl181" localSheetId="32">#REF!</definedName>
    <definedName name="_obl181" localSheetId="36">#REF!</definedName>
    <definedName name="_obl181" localSheetId="35">#REF!</definedName>
    <definedName name="_obl181" localSheetId="34">#REF!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2">#REF!</definedName>
    <definedName name="_obl181" localSheetId="48">#REF!</definedName>
    <definedName name="_obl181" localSheetId="49">#REF!</definedName>
    <definedName name="_obl181" localSheetId="44">#REF!</definedName>
    <definedName name="_obl181" localSheetId="45">#REF!</definedName>
    <definedName name="_obl181" localSheetId="46">#REF!</definedName>
    <definedName name="_obl181" localSheetId="47">#REF!</definedName>
    <definedName name="_obl181">#REF!</definedName>
    <definedName name="_obl1816" localSheetId="10">#REF!</definedName>
    <definedName name="_obl1816" localSheetId="11">#REF!</definedName>
    <definedName name="_obl1816" localSheetId="23">#REF!</definedName>
    <definedName name="_obl1816" localSheetId="24">#REF!</definedName>
    <definedName name="_obl1816" localSheetId="22">#REF!</definedName>
    <definedName name="_obl1816" localSheetId="25">#REF!</definedName>
    <definedName name="_obl1816" localSheetId="29">#REF!</definedName>
    <definedName name="_obl1816" localSheetId="27">#REF!</definedName>
    <definedName name="_obl1816" localSheetId="28">#REF!</definedName>
    <definedName name="_obl1816" localSheetId="12">#REF!</definedName>
    <definedName name="_obl1816" localSheetId="14">#REF!</definedName>
    <definedName name="_obl1816" localSheetId="19">#REF!</definedName>
    <definedName name="_obl1816" localSheetId="30">#REF!</definedName>
    <definedName name="_obl1816" localSheetId="31">#REF!</definedName>
    <definedName name="_obl1816" localSheetId="32">#REF!</definedName>
    <definedName name="_obl1816" localSheetId="36">#REF!</definedName>
    <definedName name="_obl1816" localSheetId="35">#REF!</definedName>
    <definedName name="_obl1816" localSheetId="34">#REF!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2">#REF!</definedName>
    <definedName name="_obl1816" localSheetId="48">#REF!</definedName>
    <definedName name="_obl1816" localSheetId="49">#REF!</definedName>
    <definedName name="_obl1816" localSheetId="44">#REF!</definedName>
    <definedName name="_obl1816" localSheetId="45">#REF!</definedName>
    <definedName name="_obl1816" localSheetId="46">#REF!</definedName>
    <definedName name="_obl1816" localSheetId="47">#REF!</definedName>
    <definedName name="_obl1816">#REF!</definedName>
    <definedName name="_obl1820" localSheetId="10">#REF!</definedName>
    <definedName name="_obl1820" localSheetId="11">#REF!</definedName>
    <definedName name="_obl1820" localSheetId="23">#REF!</definedName>
    <definedName name="_obl1820" localSheetId="24">#REF!</definedName>
    <definedName name="_obl1820" localSheetId="22">#REF!</definedName>
    <definedName name="_obl1820" localSheetId="25">#REF!</definedName>
    <definedName name="_obl1820" localSheetId="29">#REF!</definedName>
    <definedName name="_obl1820" localSheetId="27">#REF!</definedName>
    <definedName name="_obl1820" localSheetId="28">#REF!</definedName>
    <definedName name="_obl1820" localSheetId="12">#REF!</definedName>
    <definedName name="_obl1820" localSheetId="14">#REF!</definedName>
    <definedName name="_obl1820" localSheetId="19">#REF!</definedName>
    <definedName name="_obl1820" localSheetId="30">#REF!</definedName>
    <definedName name="_obl1820" localSheetId="31">#REF!</definedName>
    <definedName name="_obl1820" localSheetId="32">#REF!</definedName>
    <definedName name="_obl1820" localSheetId="36">#REF!</definedName>
    <definedName name="_obl1820" localSheetId="35">#REF!</definedName>
    <definedName name="_obl1820" localSheetId="34">#REF!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2">#REF!</definedName>
    <definedName name="_obl1820" localSheetId="48">#REF!</definedName>
    <definedName name="_obl1820" localSheetId="49">#REF!</definedName>
    <definedName name="_obl1820" localSheetId="44">#REF!</definedName>
    <definedName name="_obl1820" localSheetId="45">#REF!</definedName>
    <definedName name="_obl1820" localSheetId="46">#REF!</definedName>
    <definedName name="_obl1820" localSheetId="47">#REF!</definedName>
    <definedName name="_obl1820">#REF!</definedName>
    <definedName name="_obl1821" localSheetId="10">#REF!</definedName>
    <definedName name="_obl1821" localSheetId="11">#REF!</definedName>
    <definedName name="_obl1821" localSheetId="23">#REF!</definedName>
    <definedName name="_obl1821" localSheetId="24">#REF!</definedName>
    <definedName name="_obl1821" localSheetId="22">#REF!</definedName>
    <definedName name="_obl1821" localSheetId="25">#REF!</definedName>
    <definedName name="_obl1821" localSheetId="29">#REF!</definedName>
    <definedName name="_obl1821" localSheetId="27">#REF!</definedName>
    <definedName name="_obl1821" localSheetId="28">#REF!</definedName>
    <definedName name="_obl1821" localSheetId="12">#REF!</definedName>
    <definedName name="_obl1821" localSheetId="14">#REF!</definedName>
    <definedName name="_obl1821" localSheetId="19">#REF!</definedName>
    <definedName name="_obl1821" localSheetId="30">#REF!</definedName>
    <definedName name="_obl1821" localSheetId="31">#REF!</definedName>
    <definedName name="_obl1821" localSheetId="32">#REF!</definedName>
    <definedName name="_obl1821" localSheetId="36">#REF!</definedName>
    <definedName name="_obl1821" localSheetId="35">#REF!</definedName>
    <definedName name="_obl1821" localSheetId="34">#REF!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2">#REF!</definedName>
    <definedName name="_obl1821" localSheetId="48">#REF!</definedName>
    <definedName name="_obl1821" localSheetId="49">#REF!</definedName>
    <definedName name="_obl1821" localSheetId="44">#REF!</definedName>
    <definedName name="_obl1821" localSheetId="45">#REF!</definedName>
    <definedName name="_obl1821" localSheetId="46">#REF!</definedName>
    <definedName name="_obl1821" localSheetId="47">#REF!</definedName>
    <definedName name="_obl1821">#REF!</definedName>
    <definedName name="_obl1822" localSheetId="10">#REF!</definedName>
    <definedName name="_obl1822" localSheetId="11">#REF!</definedName>
    <definedName name="_obl1822" localSheetId="23">#REF!</definedName>
    <definedName name="_obl1822" localSheetId="24">#REF!</definedName>
    <definedName name="_obl1822" localSheetId="22">#REF!</definedName>
    <definedName name="_obl1822" localSheetId="25">#REF!</definedName>
    <definedName name="_obl1822" localSheetId="29">#REF!</definedName>
    <definedName name="_obl1822" localSheetId="27">#REF!</definedName>
    <definedName name="_obl1822" localSheetId="28">#REF!</definedName>
    <definedName name="_obl1822" localSheetId="12">#REF!</definedName>
    <definedName name="_obl1822" localSheetId="14">#REF!</definedName>
    <definedName name="_obl1822" localSheetId="19">#REF!</definedName>
    <definedName name="_obl1822" localSheetId="30">#REF!</definedName>
    <definedName name="_obl1822" localSheetId="31">#REF!</definedName>
    <definedName name="_obl1822" localSheetId="32">#REF!</definedName>
    <definedName name="_obl1822" localSheetId="36">#REF!</definedName>
    <definedName name="_obl1822" localSheetId="35">#REF!</definedName>
    <definedName name="_obl1822" localSheetId="34">#REF!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2">#REF!</definedName>
    <definedName name="_obl1822" localSheetId="48">#REF!</definedName>
    <definedName name="_obl1822" localSheetId="49">#REF!</definedName>
    <definedName name="_obl1822" localSheetId="44">#REF!</definedName>
    <definedName name="_obl1822" localSheetId="45">#REF!</definedName>
    <definedName name="_obl1822" localSheetId="46">#REF!</definedName>
    <definedName name="_obl1822" localSheetId="47">#REF!</definedName>
    <definedName name="_obl1822">#REF!</definedName>
    <definedName name="_obl1823" localSheetId="10">#REF!</definedName>
    <definedName name="_obl1823" localSheetId="11">#REF!</definedName>
    <definedName name="_obl1823" localSheetId="23">#REF!</definedName>
    <definedName name="_obl1823" localSheetId="24">#REF!</definedName>
    <definedName name="_obl1823" localSheetId="22">#REF!</definedName>
    <definedName name="_obl1823" localSheetId="25">#REF!</definedName>
    <definedName name="_obl1823" localSheetId="29">#REF!</definedName>
    <definedName name="_obl1823" localSheetId="27">#REF!</definedName>
    <definedName name="_obl1823" localSheetId="28">#REF!</definedName>
    <definedName name="_obl1823" localSheetId="12">#REF!</definedName>
    <definedName name="_obl1823" localSheetId="14">#REF!</definedName>
    <definedName name="_obl1823" localSheetId="19">#REF!</definedName>
    <definedName name="_obl1823" localSheetId="30">#REF!</definedName>
    <definedName name="_obl1823" localSheetId="31">#REF!</definedName>
    <definedName name="_obl1823" localSheetId="32">#REF!</definedName>
    <definedName name="_obl1823" localSheetId="36">#REF!</definedName>
    <definedName name="_obl1823" localSheetId="35">#REF!</definedName>
    <definedName name="_obl1823" localSheetId="34">#REF!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2">#REF!</definedName>
    <definedName name="_obl1823" localSheetId="48">#REF!</definedName>
    <definedName name="_obl1823" localSheetId="49">#REF!</definedName>
    <definedName name="_obl1823" localSheetId="44">#REF!</definedName>
    <definedName name="_obl1823" localSheetId="45">#REF!</definedName>
    <definedName name="_obl1823" localSheetId="46">#REF!</definedName>
    <definedName name="_obl1823" localSheetId="47">#REF!</definedName>
    <definedName name="_obl1823">#REF!</definedName>
    <definedName name="_obl1824" localSheetId="10">#REF!</definedName>
    <definedName name="_obl1824" localSheetId="11">#REF!</definedName>
    <definedName name="_obl1824" localSheetId="23">#REF!</definedName>
    <definedName name="_obl1824" localSheetId="24">#REF!</definedName>
    <definedName name="_obl1824" localSheetId="22">#REF!</definedName>
    <definedName name="_obl1824" localSheetId="25">#REF!</definedName>
    <definedName name="_obl1824" localSheetId="29">#REF!</definedName>
    <definedName name="_obl1824" localSheetId="27">#REF!</definedName>
    <definedName name="_obl1824" localSheetId="28">#REF!</definedName>
    <definedName name="_obl1824" localSheetId="12">#REF!</definedName>
    <definedName name="_obl1824" localSheetId="14">#REF!</definedName>
    <definedName name="_obl1824" localSheetId="19">#REF!</definedName>
    <definedName name="_obl1824" localSheetId="30">#REF!</definedName>
    <definedName name="_obl1824" localSheetId="31">#REF!</definedName>
    <definedName name="_obl1824" localSheetId="32">#REF!</definedName>
    <definedName name="_obl1824" localSheetId="36">#REF!</definedName>
    <definedName name="_obl1824" localSheetId="35">#REF!</definedName>
    <definedName name="_obl1824" localSheetId="34">#REF!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2">#REF!</definedName>
    <definedName name="_obl1824" localSheetId="48">#REF!</definedName>
    <definedName name="_obl1824" localSheetId="49">#REF!</definedName>
    <definedName name="_obl1824" localSheetId="44">#REF!</definedName>
    <definedName name="_obl1824" localSheetId="45">#REF!</definedName>
    <definedName name="_obl1824" localSheetId="46">#REF!</definedName>
    <definedName name="_obl1824" localSheetId="47">#REF!</definedName>
    <definedName name="_obl1824">#REF!</definedName>
    <definedName name="_obl1825" localSheetId="10">#REF!</definedName>
    <definedName name="_obl1825" localSheetId="11">#REF!</definedName>
    <definedName name="_obl1825" localSheetId="23">#REF!</definedName>
    <definedName name="_obl1825" localSheetId="24">#REF!</definedName>
    <definedName name="_obl1825" localSheetId="22">#REF!</definedName>
    <definedName name="_obl1825" localSheetId="25">#REF!</definedName>
    <definedName name="_obl1825" localSheetId="29">#REF!</definedName>
    <definedName name="_obl1825" localSheetId="27">#REF!</definedName>
    <definedName name="_obl1825" localSheetId="28">#REF!</definedName>
    <definedName name="_obl1825" localSheetId="12">#REF!</definedName>
    <definedName name="_obl1825" localSheetId="14">#REF!</definedName>
    <definedName name="_obl1825" localSheetId="19">#REF!</definedName>
    <definedName name="_obl1825" localSheetId="30">#REF!</definedName>
    <definedName name="_obl1825" localSheetId="31">#REF!</definedName>
    <definedName name="_obl1825" localSheetId="32">#REF!</definedName>
    <definedName name="_obl1825" localSheetId="36">#REF!</definedName>
    <definedName name="_obl1825" localSheetId="35">#REF!</definedName>
    <definedName name="_obl1825" localSheetId="34">#REF!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2">#REF!</definedName>
    <definedName name="_obl1825" localSheetId="48">#REF!</definedName>
    <definedName name="_obl1825" localSheetId="49">#REF!</definedName>
    <definedName name="_obl1825" localSheetId="44">#REF!</definedName>
    <definedName name="_obl1825" localSheetId="45">#REF!</definedName>
    <definedName name="_obl1825" localSheetId="46">#REF!</definedName>
    <definedName name="_obl1825" localSheetId="47">#REF!</definedName>
    <definedName name="_obl1825">#REF!</definedName>
    <definedName name="_obl1826" localSheetId="10">#REF!</definedName>
    <definedName name="_obl1826" localSheetId="11">#REF!</definedName>
    <definedName name="_obl1826" localSheetId="23">#REF!</definedName>
    <definedName name="_obl1826" localSheetId="24">#REF!</definedName>
    <definedName name="_obl1826" localSheetId="22">#REF!</definedName>
    <definedName name="_obl1826" localSheetId="25">#REF!</definedName>
    <definedName name="_obl1826" localSheetId="29">#REF!</definedName>
    <definedName name="_obl1826" localSheetId="27">#REF!</definedName>
    <definedName name="_obl1826" localSheetId="28">#REF!</definedName>
    <definedName name="_obl1826" localSheetId="12">#REF!</definedName>
    <definedName name="_obl1826" localSheetId="14">#REF!</definedName>
    <definedName name="_obl1826" localSheetId="19">#REF!</definedName>
    <definedName name="_obl1826" localSheetId="30">#REF!</definedName>
    <definedName name="_obl1826" localSheetId="31">#REF!</definedName>
    <definedName name="_obl1826" localSheetId="32">#REF!</definedName>
    <definedName name="_obl1826" localSheetId="36">#REF!</definedName>
    <definedName name="_obl1826" localSheetId="35">#REF!</definedName>
    <definedName name="_obl1826" localSheetId="34">#REF!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2">#REF!</definedName>
    <definedName name="_obl1826" localSheetId="48">#REF!</definedName>
    <definedName name="_obl1826" localSheetId="49">#REF!</definedName>
    <definedName name="_obl1826" localSheetId="44">#REF!</definedName>
    <definedName name="_obl1826" localSheetId="45">#REF!</definedName>
    <definedName name="_obl1826" localSheetId="46">#REF!</definedName>
    <definedName name="_obl1826" localSheetId="47">#REF!</definedName>
    <definedName name="_obl1826">#REF!</definedName>
    <definedName name="_obl1827" localSheetId="10">#REF!</definedName>
    <definedName name="_obl1827" localSheetId="11">#REF!</definedName>
    <definedName name="_obl1827" localSheetId="23">#REF!</definedName>
    <definedName name="_obl1827" localSheetId="24">#REF!</definedName>
    <definedName name="_obl1827" localSheetId="22">#REF!</definedName>
    <definedName name="_obl1827" localSheetId="25">#REF!</definedName>
    <definedName name="_obl1827" localSheetId="29">#REF!</definedName>
    <definedName name="_obl1827" localSheetId="27">#REF!</definedName>
    <definedName name="_obl1827" localSheetId="28">#REF!</definedName>
    <definedName name="_obl1827" localSheetId="12">#REF!</definedName>
    <definedName name="_obl1827" localSheetId="14">#REF!</definedName>
    <definedName name="_obl1827" localSheetId="19">#REF!</definedName>
    <definedName name="_obl1827" localSheetId="30">#REF!</definedName>
    <definedName name="_obl1827" localSheetId="31">#REF!</definedName>
    <definedName name="_obl1827" localSheetId="32">#REF!</definedName>
    <definedName name="_obl1827" localSheetId="36">#REF!</definedName>
    <definedName name="_obl1827" localSheetId="35">#REF!</definedName>
    <definedName name="_obl1827" localSheetId="34">#REF!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2">#REF!</definedName>
    <definedName name="_obl1827" localSheetId="48">#REF!</definedName>
    <definedName name="_obl1827" localSheetId="49">#REF!</definedName>
    <definedName name="_obl1827" localSheetId="44">#REF!</definedName>
    <definedName name="_obl1827" localSheetId="45">#REF!</definedName>
    <definedName name="_obl1827" localSheetId="46">#REF!</definedName>
    <definedName name="_obl1827" localSheetId="47">#REF!</definedName>
    <definedName name="_obl1827">#REF!</definedName>
    <definedName name="_obl1828" localSheetId="10">#REF!</definedName>
    <definedName name="_obl1828" localSheetId="11">#REF!</definedName>
    <definedName name="_obl1828" localSheetId="23">#REF!</definedName>
    <definedName name="_obl1828" localSheetId="24">#REF!</definedName>
    <definedName name="_obl1828" localSheetId="22">#REF!</definedName>
    <definedName name="_obl1828" localSheetId="25">#REF!</definedName>
    <definedName name="_obl1828" localSheetId="29">#REF!</definedName>
    <definedName name="_obl1828" localSheetId="27">#REF!</definedName>
    <definedName name="_obl1828" localSheetId="28">#REF!</definedName>
    <definedName name="_obl1828" localSheetId="12">#REF!</definedName>
    <definedName name="_obl1828" localSheetId="14">#REF!</definedName>
    <definedName name="_obl1828" localSheetId="19">#REF!</definedName>
    <definedName name="_obl1828" localSheetId="30">#REF!</definedName>
    <definedName name="_obl1828" localSheetId="31">#REF!</definedName>
    <definedName name="_obl1828" localSheetId="32">#REF!</definedName>
    <definedName name="_obl1828" localSheetId="36">#REF!</definedName>
    <definedName name="_obl1828" localSheetId="35">#REF!</definedName>
    <definedName name="_obl1828" localSheetId="34">#REF!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2">#REF!</definedName>
    <definedName name="_obl1828" localSheetId="48">#REF!</definedName>
    <definedName name="_obl1828" localSheetId="49">#REF!</definedName>
    <definedName name="_obl1828" localSheetId="44">#REF!</definedName>
    <definedName name="_obl1828" localSheetId="45">#REF!</definedName>
    <definedName name="_obl1828" localSheetId="46">#REF!</definedName>
    <definedName name="_obl1828" localSheetId="47">#REF!</definedName>
    <definedName name="_obl1828">#REF!</definedName>
    <definedName name="_obl1829" localSheetId="10">#REF!</definedName>
    <definedName name="_obl1829" localSheetId="11">#REF!</definedName>
    <definedName name="_obl1829" localSheetId="23">#REF!</definedName>
    <definedName name="_obl1829" localSheetId="24">#REF!</definedName>
    <definedName name="_obl1829" localSheetId="22">#REF!</definedName>
    <definedName name="_obl1829" localSheetId="25">#REF!</definedName>
    <definedName name="_obl1829" localSheetId="29">#REF!</definedName>
    <definedName name="_obl1829" localSheetId="27">#REF!</definedName>
    <definedName name="_obl1829" localSheetId="28">#REF!</definedName>
    <definedName name="_obl1829" localSheetId="12">#REF!</definedName>
    <definedName name="_obl1829" localSheetId="14">#REF!</definedName>
    <definedName name="_obl1829" localSheetId="19">#REF!</definedName>
    <definedName name="_obl1829" localSheetId="30">#REF!</definedName>
    <definedName name="_obl1829" localSheetId="31">#REF!</definedName>
    <definedName name="_obl1829" localSheetId="32">#REF!</definedName>
    <definedName name="_obl1829" localSheetId="36">#REF!</definedName>
    <definedName name="_obl1829" localSheetId="35">#REF!</definedName>
    <definedName name="_obl1829" localSheetId="34">#REF!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2">#REF!</definedName>
    <definedName name="_obl1829" localSheetId="48">#REF!</definedName>
    <definedName name="_obl1829" localSheetId="49">#REF!</definedName>
    <definedName name="_obl1829" localSheetId="44">#REF!</definedName>
    <definedName name="_obl1829" localSheetId="45">#REF!</definedName>
    <definedName name="_obl1829" localSheetId="46">#REF!</definedName>
    <definedName name="_obl1829" localSheetId="47">#REF!</definedName>
    <definedName name="_obl1829">#REF!</definedName>
    <definedName name="_obl183" localSheetId="10">#REF!</definedName>
    <definedName name="_obl183" localSheetId="11">#REF!</definedName>
    <definedName name="_obl183" localSheetId="23">#REF!</definedName>
    <definedName name="_obl183" localSheetId="24">#REF!</definedName>
    <definedName name="_obl183" localSheetId="22">#REF!</definedName>
    <definedName name="_obl183" localSheetId="25">#REF!</definedName>
    <definedName name="_obl183" localSheetId="29">#REF!</definedName>
    <definedName name="_obl183" localSheetId="27">#REF!</definedName>
    <definedName name="_obl183" localSheetId="28">#REF!</definedName>
    <definedName name="_obl183" localSheetId="12">#REF!</definedName>
    <definedName name="_obl183" localSheetId="14">#REF!</definedName>
    <definedName name="_obl183" localSheetId="19">#REF!</definedName>
    <definedName name="_obl183" localSheetId="30">#REF!</definedName>
    <definedName name="_obl183" localSheetId="31">#REF!</definedName>
    <definedName name="_obl183" localSheetId="32">#REF!</definedName>
    <definedName name="_obl183" localSheetId="36">#REF!</definedName>
    <definedName name="_obl183" localSheetId="35">#REF!</definedName>
    <definedName name="_obl183" localSheetId="34">#REF!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2">#REF!</definedName>
    <definedName name="_obl183" localSheetId="48">#REF!</definedName>
    <definedName name="_obl183" localSheetId="49">#REF!</definedName>
    <definedName name="_obl183" localSheetId="44">#REF!</definedName>
    <definedName name="_obl183" localSheetId="45">#REF!</definedName>
    <definedName name="_obl183" localSheetId="46">#REF!</definedName>
    <definedName name="_obl183" localSheetId="47">#REF!</definedName>
    <definedName name="_obl183">#REF!</definedName>
    <definedName name="_obl1831" localSheetId="10">#REF!</definedName>
    <definedName name="_obl1831" localSheetId="11">#REF!</definedName>
    <definedName name="_obl1831" localSheetId="23">#REF!</definedName>
    <definedName name="_obl1831" localSheetId="24">#REF!</definedName>
    <definedName name="_obl1831" localSheetId="22">#REF!</definedName>
    <definedName name="_obl1831" localSheetId="25">#REF!</definedName>
    <definedName name="_obl1831" localSheetId="29">#REF!</definedName>
    <definedName name="_obl1831" localSheetId="27">#REF!</definedName>
    <definedName name="_obl1831" localSheetId="28">#REF!</definedName>
    <definedName name="_obl1831" localSheetId="12">#REF!</definedName>
    <definedName name="_obl1831" localSheetId="14">#REF!</definedName>
    <definedName name="_obl1831" localSheetId="19">#REF!</definedName>
    <definedName name="_obl1831" localSheetId="30">#REF!</definedName>
    <definedName name="_obl1831" localSheetId="31">#REF!</definedName>
    <definedName name="_obl1831" localSheetId="32">#REF!</definedName>
    <definedName name="_obl1831" localSheetId="36">#REF!</definedName>
    <definedName name="_obl1831" localSheetId="35">#REF!</definedName>
    <definedName name="_obl1831" localSheetId="34">#REF!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2">#REF!</definedName>
    <definedName name="_obl1831" localSheetId="48">#REF!</definedName>
    <definedName name="_obl1831" localSheetId="49">#REF!</definedName>
    <definedName name="_obl1831" localSheetId="44">#REF!</definedName>
    <definedName name="_obl1831" localSheetId="45">#REF!</definedName>
    <definedName name="_obl1831" localSheetId="46">#REF!</definedName>
    <definedName name="_obl1831" localSheetId="47">#REF!</definedName>
    <definedName name="_obl1831">#REF!</definedName>
    <definedName name="_obl1832" localSheetId="10">#REF!</definedName>
    <definedName name="_obl1832" localSheetId="11">#REF!</definedName>
    <definedName name="_obl1832" localSheetId="23">#REF!</definedName>
    <definedName name="_obl1832" localSheetId="24">#REF!</definedName>
    <definedName name="_obl1832" localSheetId="22">#REF!</definedName>
    <definedName name="_obl1832" localSheetId="25">#REF!</definedName>
    <definedName name="_obl1832" localSheetId="29">#REF!</definedName>
    <definedName name="_obl1832" localSheetId="27">#REF!</definedName>
    <definedName name="_obl1832" localSheetId="28">#REF!</definedName>
    <definedName name="_obl1832" localSheetId="12">#REF!</definedName>
    <definedName name="_obl1832" localSheetId="14">#REF!</definedName>
    <definedName name="_obl1832" localSheetId="19">#REF!</definedName>
    <definedName name="_obl1832" localSheetId="30">#REF!</definedName>
    <definedName name="_obl1832" localSheetId="31">#REF!</definedName>
    <definedName name="_obl1832" localSheetId="32">#REF!</definedName>
    <definedName name="_obl1832" localSheetId="36">#REF!</definedName>
    <definedName name="_obl1832" localSheetId="35">#REF!</definedName>
    <definedName name="_obl1832" localSheetId="34">#REF!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2">#REF!</definedName>
    <definedName name="_obl1832" localSheetId="48">#REF!</definedName>
    <definedName name="_obl1832" localSheetId="49">#REF!</definedName>
    <definedName name="_obl1832" localSheetId="44">#REF!</definedName>
    <definedName name="_obl1832" localSheetId="45">#REF!</definedName>
    <definedName name="_obl1832" localSheetId="46">#REF!</definedName>
    <definedName name="_obl1832" localSheetId="47">#REF!</definedName>
    <definedName name="_obl1832">#REF!</definedName>
    <definedName name="_obl184" localSheetId="10">#REF!</definedName>
    <definedName name="_obl184" localSheetId="11">#REF!</definedName>
    <definedName name="_obl184" localSheetId="23">#REF!</definedName>
    <definedName name="_obl184" localSheetId="24">#REF!</definedName>
    <definedName name="_obl184" localSheetId="22">#REF!</definedName>
    <definedName name="_obl184" localSheetId="25">#REF!</definedName>
    <definedName name="_obl184" localSheetId="29">#REF!</definedName>
    <definedName name="_obl184" localSheetId="27">#REF!</definedName>
    <definedName name="_obl184" localSheetId="28">#REF!</definedName>
    <definedName name="_obl184" localSheetId="12">#REF!</definedName>
    <definedName name="_obl184" localSheetId="14">#REF!</definedName>
    <definedName name="_obl184" localSheetId="19">#REF!</definedName>
    <definedName name="_obl184" localSheetId="30">#REF!</definedName>
    <definedName name="_obl184" localSheetId="31">#REF!</definedName>
    <definedName name="_obl184" localSheetId="32">#REF!</definedName>
    <definedName name="_obl184" localSheetId="36">#REF!</definedName>
    <definedName name="_obl184" localSheetId="35">#REF!</definedName>
    <definedName name="_obl184" localSheetId="34">#REF!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2">#REF!</definedName>
    <definedName name="_obl184" localSheetId="48">#REF!</definedName>
    <definedName name="_obl184" localSheetId="49">#REF!</definedName>
    <definedName name="_obl184" localSheetId="44">#REF!</definedName>
    <definedName name="_obl184" localSheetId="45">#REF!</definedName>
    <definedName name="_obl184" localSheetId="46">#REF!</definedName>
    <definedName name="_obl184" localSheetId="47">#REF!</definedName>
    <definedName name="_obl184">#REF!</definedName>
    <definedName name="_obl185" localSheetId="10">#REF!</definedName>
    <definedName name="_obl185" localSheetId="11">#REF!</definedName>
    <definedName name="_obl185" localSheetId="23">#REF!</definedName>
    <definedName name="_obl185" localSheetId="24">#REF!</definedName>
    <definedName name="_obl185" localSheetId="22">#REF!</definedName>
    <definedName name="_obl185" localSheetId="25">#REF!</definedName>
    <definedName name="_obl185" localSheetId="29">#REF!</definedName>
    <definedName name="_obl185" localSheetId="27">#REF!</definedName>
    <definedName name="_obl185" localSheetId="28">#REF!</definedName>
    <definedName name="_obl185" localSheetId="12">#REF!</definedName>
    <definedName name="_obl185" localSheetId="14">#REF!</definedName>
    <definedName name="_obl185" localSheetId="19">#REF!</definedName>
    <definedName name="_obl185" localSheetId="30">#REF!</definedName>
    <definedName name="_obl185" localSheetId="31">#REF!</definedName>
    <definedName name="_obl185" localSheetId="32">#REF!</definedName>
    <definedName name="_obl185" localSheetId="36">#REF!</definedName>
    <definedName name="_obl185" localSheetId="35">#REF!</definedName>
    <definedName name="_obl185" localSheetId="34">#REF!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2">#REF!</definedName>
    <definedName name="_obl185" localSheetId="48">#REF!</definedName>
    <definedName name="_obl185" localSheetId="49">#REF!</definedName>
    <definedName name="_obl185" localSheetId="44">#REF!</definedName>
    <definedName name="_obl185" localSheetId="45">#REF!</definedName>
    <definedName name="_obl185" localSheetId="46">#REF!</definedName>
    <definedName name="_obl185" localSheetId="47">#REF!</definedName>
    <definedName name="_obl185">#REF!</definedName>
    <definedName name="_obl186" localSheetId="10">#REF!</definedName>
    <definedName name="_obl186" localSheetId="11">#REF!</definedName>
    <definedName name="_obl186" localSheetId="23">#REF!</definedName>
    <definedName name="_obl186" localSheetId="24">#REF!</definedName>
    <definedName name="_obl186" localSheetId="22">#REF!</definedName>
    <definedName name="_obl186" localSheetId="25">#REF!</definedName>
    <definedName name="_obl186" localSheetId="29">#REF!</definedName>
    <definedName name="_obl186" localSheetId="27">#REF!</definedName>
    <definedName name="_obl186" localSheetId="28">#REF!</definedName>
    <definedName name="_obl186" localSheetId="12">#REF!</definedName>
    <definedName name="_obl186" localSheetId="14">#REF!</definedName>
    <definedName name="_obl186" localSheetId="19">#REF!</definedName>
    <definedName name="_obl186" localSheetId="30">#REF!</definedName>
    <definedName name="_obl186" localSheetId="31">#REF!</definedName>
    <definedName name="_obl186" localSheetId="32">#REF!</definedName>
    <definedName name="_obl186" localSheetId="36">#REF!</definedName>
    <definedName name="_obl186" localSheetId="35">#REF!</definedName>
    <definedName name="_obl186" localSheetId="34">#REF!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2">#REF!</definedName>
    <definedName name="_obl186" localSheetId="48">#REF!</definedName>
    <definedName name="_obl186" localSheetId="49">#REF!</definedName>
    <definedName name="_obl186" localSheetId="44">#REF!</definedName>
    <definedName name="_obl186" localSheetId="45">#REF!</definedName>
    <definedName name="_obl186" localSheetId="46">#REF!</definedName>
    <definedName name="_obl186" localSheetId="47">#REF!</definedName>
    <definedName name="_obl186">#REF!</definedName>
    <definedName name="_obl187" localSheetId="10">#REF!</definedName>
    <definedName name="_obl187" localSheetId="11">#REF!</definedName>
    <definedName name="_obl187" localSheetId="23">#REF!</definedName>
    <definedName name="_obl187" localSheetId="24">#REF!</definedName>
    <definedName name="_obl187" localSheetId="22">#REF!</definedName>
    <definedName name="_obl187" localSheetId="25">#REF!</definedName>
    <definedName name="_obl187" localSheetId="29">#REF!</definedName>
    <definedName name="_obl187" localSheetId="27">#REF!</definedName>
    <definedName name="_obl187" localSheetId="28">#REF!</definedName>
    <definedName name="_obl187" localSheetId="12">#REF!</definedName>
    <definedName name="_obl187" localSheetId="14">#REF!</definedName>
    <definedName name="_obl187" localSheetId="19">#REF!</definedName>
    <definedName name="_obl187" localSheetId="30">#REF!</definedName>
    <definedName name="_obl187" localSheetId="31">#REF!</definedName>
    <definedName name="_obl187" localSheetId="32">#REF!</definedName>
    <definedName name="_obl187" localSheetId="36">#REF!</definedName>
    <definedName name="_obl187" localSheetId="35">#REF!</definedName>
    <definedName name="_obl187" localSheetId="34">#REF!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2">#REF!</definedName>
    <definedName name="_obl187" localSheetId="48">#REF!</definedName>
    <definedName name="_obl187" localSheetId="49">#REF!</definedName>
    <definedName name="_obl187" localSheetId="44">#REF!</definedName>
    <definedName name="_obl187" localSheetId="45">#REF!</definedName>
    <definedName name="_obl187" localSheetId="46">#REF!</definedName>
    <definedName name="_obl187" localSheetId="47">#REF!</definedName>
    <definedName name="_obl187">#REF!</definedName>
    <definedName name="_SO16" localSheetId="10" hidden="1">{#N/A,#N/A,TRUE,"Krycí list"}</definedName>
    <definedName name="_SO16" localSheetId="11" hidden="1">{#N/A,#N/A,TRUE,"Krycí list"}</definedName>
    <definedName name="_SO16" localSheetId="23" hidden="1">{#N/A,#N/A,TRUE,"Krycí list"}</definedName>
    <definedName name="_SO16" localSheetId="24" hidden="1">{#N/A,#N/A,TRUE,"Krycí list"}</definedName>
    <definedName name="_SO16" localSheetId="22" hidden="1">{#N/A,#N/A,TRUE,"Krycí list"}</definedName>
    <definedName name="_SO16" localSheetId="25" hidden="1">{#N/A,#N/A,TRUE,"Krycí list"}</definedName>
    <definedName name="_SO16" localSheetId="29" hidden="1">{#N/A,#N/A,TRUE,"Krycí list"}</definedName>
    <definedName name="_SO16" localSheetId="27" hidden="1">{#N/A,#N/A,TRUE,"Krycí list"}</definedName>
    <definedName name="_SO16" localSheetId="28"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9" hidden="1">{#N/A,#N/A,TRUE,"Krycí list"}</definedName>
    <definedName name="_SO16" localSheetId="30" hidden="1">{#N/A,#N/A,TRUE,"Krycí list"}</definedName>
    <definedName name="_SO16" localSheetId="31" hidden="1">{#N/A,#N/A,TRUE,"Krycí list"}</definedName>
    <definedName name="_SO16" localSheetId="32"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42" hidden="1">{#N/A,#N/A,TRUE,"Krycí list"}</definedName>
    <definedName name="_SO16" localSheetId="0" hidden="1">{#N/A,#N/A,TRUE,"Krycí list"}</definedName>
    <definedName name="_SO16" localSheetId="18" hidden="1">{#N/A,#N/A,TRUE,"Krycí list"}</definedName>
    <definedName name="_SO16" localSheetId="33" hidden="1">{#N/A,#N/A,TRUE,"Krycí list"}</definedName>
    <definedName name="_SO16" localSheetId="43" hidden="1">{#N/A,#N/A,TRUE,"Krycí list"}</definedName>
    <definedName name="_SO16" localSheetId="26" hidden="1">{#N/A,#N/A,TRUE,"Krycí list"}</definedName>
    <definedName name="_SO16" localSheetId="21"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11">Scheduled_Payment+Extra_Payment</definedName>
    <definedName name="_VZT1" localSheetId="23">Scheduled_Payment+Extra_Payment</definedName>
    <definedName name="_VZT1" localSheetId="24">Scheduled_Payment+Extra_Payment</definedName>
    <definedName name="_VZT1" localSheetId="22">Scheduled_Payment+Extra_Payment</definedName>
    <definedName name="_VZT1" localSheetId="25">Scheduled_Payment+Extra_Payment</definedName>
    <definedName name="_VZT1" localSheetId="29">Scheduled_Payment+Extra_Payment</definedName>
    <definedName name="_VZT1" localSheetId="27">Scheduled_Payment+Extra_Payment</definedName>
    <definedName name="_VZT1" localSheetId="28">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9">Scheduled_Payment+Extra_Payment</definedName>
    <definedName name="_VZT1" localSheetId="20">Scheduled_Payment+Extra_Payment</definedName>
    <definedName name="_VZT1" localSheetId="30">Scheduled_Payment+Extra_Payment</definedName>
    <definedName name="_VZT1" localSheetId="31">Scheduled_Payment+Extra_Payment</definedName>
    <definedName name="_VZT1" localSheetId="32">Scheduled_Payment+Extra_Payment</definedName>
    <definedName name="_VZT1" localSheetId="36">Scheduled_Payment+Extra_Payment</definedName>
    <definedName name="_VZT1" localSheetId="35">Scheduled_Payment+Extra_Payment</definedName>
    <definedName name="_VZT1" localSheetId="34">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2">Scheduled_Payment+Extra_Payment</definedName>
    <definedName name="_VZT1" localSheetId="48">Scheduled_Payment+Extra_Payment</definedName>
    <definedName name="_VZT1" localSheetId="49">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0">Scheduled_Payment+Extra_Payment</definedName>
    <definedName name="_VZT1" localSheetId="18">Scheduled_Payment+Extra_Payment</definedName>
    <definedName name="_VZT1" localSheetId="33">Scheduled_Payment+Extra_Payment</definedName>
    <definedName name="_VZT1" localSheetId="43">Scheduled_Payment+Extra_Payment</definedName>
    <definedName name="_VZT1" localSheetId="26">Scheduled_Payment+Extra_Payment</definedName>
    <definedName name="_VZT1" localSheetId="21">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11">DATE(YEAR([2]!Loan_Start),MONTH([2]!Loan_Start)+Payment_Number,DAY([2]!Loan_Start))</definedName>
    <definedName name="_VZT2" localSheetId="23">DATE(YEAR([3]!Loan_Start),MONTH([3]!Loan_Start)+Payment_Number,DAY([3]!Loan_Start))</definedName>
    <definedName name="_VZT2" localSheetId="24">DATE(YEAR([3]!Loan_Start),MONTH([3]!Loan_Start)+Payment_Number,DAY([3]!Loan_Start))</definedName>
    <definedName name="_VZT2" localSheetId="22">DATE(YEAR([3]!Loan_Start),MONTH([3]!Loan_Start)+Payment_Number,DAY([3]!Loan_Start))</definedName>
    <definedName name="_VZT2" localSheetId="25">DATE(YEAR([4]!Loan_Start),MONTH([4]!Loan_Start)+Payment_Number,DAY([4]!Loan_Start))</definedName>
    <definedName name="_VZT2" localSheetId="29">DATE(YEAR([4]!Loan_Start),MONTH([4]!Loan_Start)+Payment_Number,DAY([4]!Loan_Start))</definedName>
    <definedName name="_VZT2" localSheetId="27">DATE(YEAR([4]!Loan_Start),MONTH([4]!Loan_Start)+Payment_Number,DAY([4]!Loan_Start))</definedName>
    <definedName name="_VZT2" localSheetId="28">DATE(YEAR([4]!Loan_Start),MONTH([4]!Loan_Start)+Payment_Number,DAY([4]!Loan_Start))</definedName>
    <definedName name="_VZT2" localSheetId="12">DATE(YEAR([2]!Loan_Start),MONTH([2]!Loan_Start)+Payment_Number,DAY([2]!Loan_Start))</definedName>
    <definedName name="_VZT2" localSheetId="13">DATE(YEAR([5]!Loan_Start),MONTH([5]!Loan_Start)+Payment_Number,DAY([5]!Loan_Start))</definedName>
    <definedName name="_VZT2" localSheetId="14">DATE(YEAR([2]!Loan_Start),MONTH([2]!Loan_Start)+Payment_Number,DAY([2]!Loan_Start))</definedName>
    <definedName name="_VZT2" localSheetId="19">DATE(YEAR([5]!Loan_Start),MONTH([5]!Loan_Start)+Payment_Number,DAY([5]!Loan_Start))</definedName>
    <definedName name="_VZT2" localSheetId="20">DATE(YEAR([5]!Loan_Start),MONTH([5]!Loan_Start)+Payment_Number,DAY([5]!Loan_Start))</definedName>
    <definedName name="_VZT2" localSheetId="30">DATE(YEAR([1]!Loan_Start),MONTH([1]!Loan_Start)+Payment_Number,DAY([1]!Loan_Start))</definedName>
    <definedName name="_VZT2" localSheetId="31">DATE(YEAR([2]!Loan_Start),MONTH([2]!Loan_Start)+Payment_Number,DAY([2]!Loan_Start))</definedName>
    <definedName name="_VZT2" localSheetId="32">DATE(YEAR([1]!Loan_Start),MONTH([1]!Loan_Start)+Payment_Number,DAY([1]!Loan_Start))</definedName>
    <definedName name="_VZT2" localSheetId="36">DATE(YEAR('D.2.3. AKUMULAČNÍ NÁDRŽ'!Loan_Start),MONTH('D.2.3. AKUMULAČNÍ NÁDRŽ'!Loan_Start)+Payment_Number,DAY('D.2.3. AKUMULAČNÍ NÁDRŽ'!Loan_Start))</definedName>
    <definedName name="_VZT2" localSheetId="35">DATE(YEAR([1]!Loan_Start),MONTH([1]!Loan_Start)+Payment_Number,DAY([1]!Loan_Start))</definedName>
    <definedName name="_VZT2" localSheetId="34">DATE(YEAR([1]!Loan_Start),MONTH([1]!Loan_Start)+Payment_Number,DAY([1]!Loan_Start))</definedName>
    <definedName name="_VZT2" localSheetId="37">DATE(YEAR('D.2.3. ČERPACÍ STANICE'!Loan_Start),MONTH('D.2.3. ČERPACÍ STANICE'!Loan_Start)+Payment_Number,DAY('D.2.3. ČERPACÍ STANICE'!Loan_Start))</definedName>
    <definedName name="_VZT2" localSheetId="38">DATE(YEAR('D.2.3. VSAKOVACÍ NÁDRŽE'!Loan_Start),MONTH('D.2.3. VSAKOVACÍ NÁDRŽE'!Loan_Start)+Payment_Number,DAY('D.2.3. VSAKOVACÍ NÁDRŽE'!Loan_Start))</definedName>
    <definedName name="_VZT2" localSheetId="39">DATE(YEAR([3]!Loan_Start),MONTH([3]!Loan_Start)+Payment_Number,DAY([3]!Loan_Start))</definedName>
    <definedName name="_VZT2" localSheetId="40">DATE(YEAR([6]!Loan_Start),MONTH([6]!Loan_Start)+Payment_Number,DAY([6]!Loan_Start))</definedName>
    <definedName name="_VZT2" localSheetId="41">DATE(YEAR([6]!Loan_Start),MONTH([6]!Loan_Start)+Payment_Number,DAY([6]!Loan_Start))</definedName>
    <definedName name="_VZT2" localSheetId="42">DATE(YEAR([6]!Loan_Start),MONTH([6]!Loan_Start)+Payment_Number,DAY([6]!Loan_Start))</definedName>
    <definedName name="_VZT2" localSheetId="48">DATE(YEAR([6]!Loan_Start),MONTH([6]!Loan_Start)+Payment_Number,DAY([6]!Loan_Start))</definedName>
    <definedName name="_VZT2" localSheetId="49">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0">DATE(YEAR([0]!Loan_Start),MONTH([0]!Loan_Start)+Payment_Number,DAY([0]!Loan_Start))</definedName>
    <definedName name="_VZT2" localSheetId="18">DATE(YEAR([2]!Loan_Start),MONTH([2]!Loan_Start)+Payment_Number,DAY([2]!Loan_Start))</definedName>
    <definedName name="_VZT2" localSheetId="33">DATE(YEAR([7]!Loan_Start),MONTH([7]!Loan_Start)+Payment_Number,DAY([7]!Loan_Start))</definedName>
    <definedName name="_VZT2" localSheetId="43">DATE(YEAR([7]!Loan_Start),MONTH([7]!Loan_Start)+Payment_Number,DAY([7]!Loan_Start))</definedName>
    <definedName name="_VZT2" localSheetId="26">DATE(YEAR([2]!Loan_Start),MONTH([2]!Loan_Start)+Payment_Number,DAY([2]!Loan_Start))</definedName>
    <definedName name="_VZT2" localSheetId="21">DATE(YEAR([2]!Loan_Start),MONTH([2]!Loan_Start)+Payment_Number,DAY([2]!Loan_Start))</definedName>
    <definedName name="_VZT2" localSheetId="1">DATE(YEAR(VRN!Loan_Start),MONTH(VRN!Loan_Start)+Payment_Number,DAY(VRN!Loan_Start))</definedName>
    <definedName name="_VZT2">DATE(YEAR([0]!Loan_Start),MONTH([0]!Loan_Start)+Payment_Number,DAY([0]!Loan_Start))</definedName>
    <definedName name="_VZT22" localSheetId="24">DATE(YEAR([1]!Loan_Start),MONTH([1]!Loan_Start)+Payment_Number,DAY([1]!Loan_Start))</definedName>
    <definedName name="_VZT22" localSheetId="25">DATE(YEAR([1]!Loan_Start),MONTH([1]!Loan_Start)+Payment_Number,DAY([1]!Loan_Start))</definedName>
    <definedName name="_VZT22" localSheetId="29">DATE(YEAR([1]!Loan_Start),MONTH([1]!Loan_Start)+Payment_Number,DAY([1]!Loan_Start))</definedName>
    <definedName name="_VZT22" localSheetId="27">DATE(YEAR([1]!Loan_Start),MONTH([1]!Loan_Start)+Payment_Number,DAY([1]!Loan_Start))</definedName>
    <definedName name="_VZT22" localSheetId="28">DATE(YEAR([1]!Loan_Start),MONTH([1]!Loan_Start)+Payment_Number,DAY([1]!Loan_Start))</definedName>
    <definedName name="_VZT22" localSheetId="13">DATE(YEAR([1]!Loan_Start),MONTH([1]!Loan_Start)+Payment_Number,DAY([1]!Loan_Start))</definedName>
    <definedName name="_VZT22" localSheetId="30">DATE(YEAR([1]!Loan_Start),MONTH([1]!Loan_Start)+Payment_Number,DAY([1]!Loan_Start))</definedName>
    <definedName name="_VZT22" localSheetId="32">DATE(YEAR([1]!Loan_Start),MONTH([1]!Loan_Start)+Payment_Number,DAY([1]!Loan_Start))</definedName>
    <definedName name="_VZT22">DATE(YEAR([1]!Loan_Start),MONTH([1]!Loan_Start)+Payment_Number,DAY([1]!Loan_Start))</definedName>
    <definedName name="_vzt3" localSheetId="10">'[8]Rekapitulace roz.  vč. kapitol'!#REF!</definedName>
    <definedName name="_vzt3" localSheetId="11">'[8]Rekapitulace roz.  vč. kapitol'!#REF!</definedName>
    <definedName name="_vzt3" localSheetId="23">'[8]Rekapitulace roz.  vč. kapitol'!#REF!</definedName>
    <definedName name="_vzt3" localSheetId="24">'[8]Rekapitulace roz.  vč. kapitol'!#REF!</definedName>
    <definedName name="_vzt3" localSheetId="22">'[8]Rekapitulace roz.  vč. kapitol'!#REF!</definedName>
    <definedName name="_vzt3" localSheetId="25">'[8]Rekapitulace roz.  vč. kapitol'!#REF!</definedName>
    <definedName name="_vzt3" localSheetId="29">'[8]Rekapitulace roz.  vč. kapitol'!#REF!</definedName>
    <definedName name="_vzt3" localSheetId="27">'[8]Rekapitulace roz.  vč. kapitol'!#REF!</definedName>
    <definedName name="_vzt3" localSheetId="28">'[8]Rekapitulace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9">'[8]Rekapitulace roz.  vč. kapitol'!#REF!</definedName>
    <definedName name="_vzt3" localSheetId="30">'[8]Rekapitulace roz.  vč. kapitol'!#REF!</definedName>
    <definedName name="_vzt3" localSheetId="31">'[8]Rekapitulace roz.  vč. kapitol'!#REF!</definedName>
    <definedName name="_vzt3" localSheetId="32">'[8]Rekapitulace roz.  vč. kapitol'!#REF!</definedName>
    <definedName name="_vzt3" localSheetId="36">'[8]Rekapitulace roz.  vč. kapitol'!#REF!</definedName>
    <definedName name="_vzt3" localSheetId="35">'[8]Rekapitulace roz.  vč. kapitol'!#REF!</definedName>
    <definedName name="_vzt3" localSheetId="34">'[8]Rekapitulace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2">'[8]Rekapitulace roz.  vč. kapitol'!#REF!</definedName>
    <definedName name="_vzt3" localSheetId="48">'[8]Rekapitulace roz.  vč. kapitol'!#REF!</definedName>
    <definedName name="_vzt3" localSheetId="49">'[8]Rekapitulace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18">'[8]Rekapitulace roz.  vč. kapitol'!#REF!</definedName>
    <definedName name="_vzt3" localSheetId="33">'[8]Rekapitulace roz.  vč. kapitol'!#REF!</definedName>
    <definedName name="_vzt3" localSheetId="43">'[8]Rekapitulace roz.  vč. kapitol'!#REF!</definedName>
    <definedName name="_vzt3" localSheetId="26">'[8]Rekapitulace roz.  vč. kapitol'!#REF!</definedName>
    <definedName name="_vzt3" localSheetId="21">'[8]Rekapitulace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11">'[8]Rekapitulace roz.  vč. kapitol'!#REF!</definedName>
    <definedName name="_VZT5" localSheetId="23">'[8]Rekapitulace roz.  vč. kapitol'!#REF!</definedName>
    <definedName name="_VZT5" localSheetId="24">'[8]Rekapitulace roz.  vč. kapitol'!#REF!</definedName>
    <definedName name="_VZT5" localSheetId="22">'[8]Rekapitulace roz.  vč. kapitol'!#REF!</definedName>
    <definedName name="_VZT5" localSheetId="25">'[8]Rekapitulace roz.  vč. kapitol'!#REF!</definedName>
    <definedName name="_VZT5" localSheetId="29">'[8]Rekapitulace roz.  vč. kapitol'!#REF!</definedName>
    <definedName name="_VZT5" localSheetId="27">'[8]Rekapitulace roz.  vč. kapitol'!#REF!</definedName>
    <definedName name="_VZT5" localSheetId="28">'[8]Rekapitulace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9">'[8]Rekapitulace roz.  vč. kapitol'!#REF!</definedName>
    <definedName name="_VZT5" localSheetId="30">'[8]Rekapitulace roz.  vč. kapitol'!#REF!</definedName>
    <definedName name="_VZT5" localSheetId="31">'[8]Rekapitulace roz.  vč. kapitol'!#REF!</definedName>
    <definedName name="_VZT5" localSheetId="32">'[8]Rekapitulace roz.  vč. kapitol'!#REF!</definedName>
    <definedName name="_VZT5" localSheetId="36">'[8]Rekapitulace roz.  vč. kapitol'!#REF!</definedName>
    <definedName name="_VZT5" localSheetId="35">'[8]Rekapitulace roz.  vč. kapitol'!#REF!</definedName>
    <definedName name="_VZT5" localSheetId="34">'[8]Rekapitulace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2">'[8]Rekapitulace roz.  vč. kapitol'!#REF!</definedName>
    <definedName name="_VZT5" localSheetId="48">'[8]Rekapitulace roz.  vč. kapitol'!#REF!</definedName>
    <definedName name="_VZT5" localSheetId="49">'[8]Rekapitulace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18">'[8]Rekapitulace roz.  vč. kapitol'!#REF!</definedName>
    <definedName name="_VZT5" localSheetId="33">'[8]Rekapitulace roz.  vč. kapitol'!#REF!</definedName>
    <definedName name="_VZT5" localSheetId="43">'[8]Rekapitulace roz.  vč. kapitol'!#REF!</definedName>
    <definedName name="_VZT5" localSheetId="26">'[8]Rekapitulace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11">'[8]Rekapitulace roz.  vč. kapitol'!#REF!</definedName>
    <definedName name="_VZT6" localSheetId="23">'[8]Rekapitulace roz.  vč. kapitol'!#REF!</definedName>
    <definedName name="_VZT6" localSheetId="24">'[8]Rekapitulace roz.  vč. kapitol'!#REF!</definedName>
    <definedName name="_VZT6" localSheetId="22">'[8]Rekapitulace roz.  vč. kapitol'!#REF!</definedName>
    <definedName name="_VZT6" localSheetId="25">'[8]Rekapitulace roz.  vč. kapitol'!#REF!</definedName>
    <definedName name="_VZT6" localSheetId="29">'[8]Rekapitulace roz.  vč. kapitol'!#REF!</definedName>
    <definedName name="_VZT6" localSheetId="27">'[8]Rekapitulace roz.  vč. kapitol'!#REF!</definedName>
    <definedName name="_VZT6" localSheetId="28">'[8]Rekapitulace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30">'[8]Rekapitulace roz.  vč. kapitol'!#REF!</definedName>
    <definedName name="_VZT6" localSheetId="31">'[8]Rekapitulace roz.  vč. kapitol'!#REF!</definedName>
    <definedName name="_VZT6" localSheetId="32">'[8]Rekapitulace roz.  vč. kapitol'!#REF!</definedName>
    <definedName name="_VZT6" localSheetId="36">'[8]Rekapitulace roz.  vč. kapitol'!#REF!</definedName>
    <definedName name="_VZT6" localSheetId="35">'[8]Rekapitulace roz.  vč. kapitol'!#REF!</definedName>
    <definedName name="_VZT6" localSheetId="34">'[8]Rekapitulace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2">'[8]Rekapitulace roz.  vč. kapitol'!#REF!</definedName>
    <definedName name="_VZT6" localSheetId="48">'[8]Rekapitulace roz.  vč. kapitol'!#REF!</definedName>
    <definedName name="_VZT6" localSheetId="49">'[8]Rekapitulace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18">'[8]Rekapitulace roz.  vč. kapitol'!#REF!</definedName>
    <definedName name="_VZT6" localSheetId="33">'[8]Rekapitulace roz.  vč. kapitol'!#REF!</definedName>
    <definedName name="_VZT6" localSheetId="43">'[8]Rekapitulace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11">'[8]Rekapitulace roz.  vč. kapitol'!#REF!</definedName>
    <definedName name="_VZT8" localSheetId="23">'[8]Rekapitulace roz.  vč. kapitol'!#REF!</definedName>
    <definedName name="_VZT8" localSheetId="24">'[8]Rekapitulace roz.  vč. kapitol'!#REF!</definedName>
    <definedName name="_VZT8" localSheetId="22">'[8]Rekapitulace roz.  vč. kapitol'!#REF!</definedName>
    <definedName name="_VZT8" localSheetId="25">'[8]Rekapitulace roz.  vč. kapitol'!#REF!</definedName>
    <definedName name="_VZT8" localSheetId="29">'[8]Rekapitulace roz.  vč. kapitol'!#REF!</definedName>
    <definedName name="_VZT8" localSheetId="27">'[8]Rekapitulace roz.  vč. kapitol'!#REF!</definedName>
    <definedName name="_VZT8" localSheetId="28">'[8]Rekapitulace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30">'[8]Rekapitulace roz.  vč. kapitol'!#REF!</definedName>
    <definedName name="_VZT8" localSheetId="31">'[8]Rekapitulace roz.  vč. kapitol'!#REF!</definedName>
    <definedName name="_VZT8" localSheetId="32">'[8]Rekapitulace roz.  vč. kapitol'!#REF!</definedName>
    <definedName name="_VZT8" localSheetId="36">'[8]Rekapitulace roz.  vč. kapitol'!#REF!</definedName>
    <definedName name="_VZT8" localSheetId="35">'[8]Rekapitulace roz.  vč. kapitol'!#REF!</definedName>
    <definedName name="_VZT8" localSheetId="34">'[8]Rekapitulace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2">'[8]Rekapitulace roz.  vč. kapitol'!#REF!</definedName>
    <definedName name="_VZT8" localSheetId="48">'[8]Rekapitulace roz.  vč. kapitol'!#REF!</definedName>
    <definedName name="_VZT8" localSheetId="49">'[8]Rekapitulace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18">'[8]Rekapitulace roz.  vč. kapitol'!#REF!</definedName>
    <definedName name="_VZT8" localSheetId="33">'[8]Rekapitulace roz.  vč. kapitol'!#REF!</definedName>
    <definedName name="_VZT8" localSheetId="43">'[8]Rekapitulace roz.  vč. kapitol'!#REF!</definedName>
    <definedName name="_VZT8" localSheetId="1">'[8]Rekapitulace roz.  vč. kapitol'!#REF!</definedName>
    <definedName name="_VZT8">'[8]Rekapitulace roz.  vč. kapitol'!#REF!</definedName>
    <definedName name="a" localSheetId="10">'[9]F.1.4.5. ZZTI'!#REF!</definedName>
    <definedName name="a" localSheetId="11">'[9]F.1.4.5. ZZTI'!#REF!</definedName>
    <definedName name="a" localSheetId="23">'[9]F.1.4.5. ZZTI'!#REF!</definedName>
    <definedName name="a" localSheetId="24">'[9]F.1.4.5. ZZTI'!#REF!</definedName>
    <definedName name="a" localSheetId="22">'[9]F.1.4.5. ZZTI'!#REF!</definedName>
    <definedName name="a" localSheetId="25">'[10]F.1.4.5. ZZTI'!#REF!</definedName>
    <definedName name="a" localSheetId="29">'[10]F.1.4.5. ZZTI'!#REF!</definedName>
    <definedName name="a" localSheetId="27">'[10]F.1.4.5. ZZTI'!#REF!</definedName>
    <definedName name="a" localSheetId="28">'[10]F.1.4.5. ZZTI'!#REF!</definedName>
    <definedName name="a" localSheetId="12">'[9]F.1.4.5. ZZTI'!#REF!</definedName>
    <definedName name="a" localSheetId="13">'[10]F.1.4.5. ZZTI'!#REF!</definedName>
    <definedName name="a" localSheetId="14">'[9]F.1.4.5. ZZTI'!#REF!</definedName>
    <definedName name="a" localSheetId="19">'[10]F.1.4.5. ZZTI'!#REF!</definedName>
    <definedName name="a" localSheetId="30">'[9]F.1.4.5. ZZTI'!#REF!</definedName>
    <definedName name="a" localSheetId="31">'[9]F.1.4.5. ZZTI'!#REF!</definedName>
    <definedName name="a" localSheetId="32">'[9]F.1.4.5. ZZTI'!#REF!</definedName>
    <definedName name="a" localSheetId="36">'[9]F.1.4.5. ZZTI'!#REF!</definedName>
    <definedName name="a" localSheetId="35">'[9]F.1.4.5. ZZTI'!#REF!</definedName>
    <definedName name="a" localSheetId="34">'[9]F.1.4.5.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2">'[9]F.1.4.5. ZZTI'!#REF!</definedName>
    <definedName name="a" localSheetId="48">'[9]F.1.4.5. ZZTI'!#REF!</definedName>
    <definedName name="a" localSheetId="49">'[9]F.1.4.5.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18">'[9]F.1.4.5. ZZTI'!#REF!</definedName>
    <definedName name="a" localSheetId="33">'[9]F.1.4.5. ZZTI'!#REF!</definedName>
    <definedName name="a" localSheetId="43">'[9]F.1.4.5. ZZTI'!#REF!</definedName>
    <definedName name="a" localSheetId="26">'[9]F.1.4.5. ZZTI'!#REF!</definedName>
    <definedName name="a" localSheetId="21">'[9]F.1.4.5. ZZTI'!#REF!</definedName>
    <definedName name="a" localSheetId="1">'[9]F.1.4.5. ZZTI'!#REF!</definedName>
    <definedName name="a">'[9]F.1.4.5. ZZTI'!#REF!</definedName>
    <definedName name="aaaaaaaa" localSheetId="10" hidden="1">{#N/A,#N/A,TRUE,"Krycí list"}</definedName>
    <definedName name="aaaaaaaa" localSheetId="11" hidden="1">{#N/A,#N/A,TRUE,"Krycí list"}</definedName>
    <definedName name="aaaaaaaa" localSheetId="23" hidden="1">{#N/A,#N/A,TRUE,"Krycí list"}</definedName>
    <definedName name="aaaaaaaa" localSheetId="24" hidden="1">{#N/A,#N/A,TRUE,"Krycí list"}</definedName>
    <definedName name="aaaaaaaa" localSheetId="22" hidden="1">{#N/A,#N/A,TRUE,"Krycí list"}</definedName>
    <definedName name="aaaaaaaa" localSheetId="25" hidden="1">{#N/A,#N/A,TRUE,"Krycí list"}</definedName>
    <definedName name="aaaaaaaa" localSheetId="29" hidden="1">{#N/A,#N/A,TRUE,"Krycí list"}</definedName>
    <definedName name="aaaaaaaa" localSheetId="27" hidden="1">{#N/A,#N/A,TRUE,"Krycí list"}</definedName>
    <definedName name="aaaaaaaa" localSheetId="28"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9" hidden="1">{#N/A,#N/A,TRUE,"Krycí list"}</definedName>
    <definedName name="aaaaaaaa" localSheetId="30" hidden="1">{#N/A,#N/A,TRUE,"Krycí list"}</definedName>
    <definedName name="aaaaaaaa" localSheetId="31" hidden="1">{#N/A,#N/A,TRUE,"Krycí list"}</definedName>
    <definedName name="aaaaaaaa" localSheetId="32"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42" hidden="1">{#N/A,#N/A,TRUE,"Krycí list"}</definedName>
    <definedName name="aaaaaaaa" localSheetId="0" hidden="1">{#N/A,#N/A,TRUE,"Krycí list"}</definedName>
    <definedName name="aaaaaaaa" localSheetId="18" hidden="1">{#N/A,#N/A,TRUE,"Krycí list"}</definedName>
    <definedName name="aaaaaaaa" localSheetId="33" hidden="1">{#N/A,#N/A,TRUE,"Krycí list"}</definedName>
    <definedName name="aaaaaaaa" localSheetId="43" hidden="1">{#N/A,#N/A,TRUE,"Krycí list"}</definedName>
    <definedName name="aaaaaaaa" localSheetId="26" hidden="1">{#N/A,#N/A,TRUE,"Krycí list"}</definedName>
    <definedName name="aaaaaaaa" localSheetId="21" hidden="1">{#N/A,#N/A,TRUE,"Krycí list"}</definedName>
    <definedName name="aaaaaaaa" localSheetId="1" hidden="1">{#N/A,#N/A,TRUE,"Krycí list"}</definedName>
    <definedName name="aaaaaaaa" hidden="1">{#N/A,#N/A,TRUE,"Krycí list"}</definedName>
    <definedName name="adasd" localSheetId="25">#REF!</definedName>
    <definedName name="adasd" localSheetId="30">#REF!</definedName>
    <definedName name="adasd">#REF!</definedName>
    <definedName name="baf" localSheetId="11">#REF!</definedName>
    <definedName name="baf" localSheetId="24">#REF!</definedName>
    <definedName name="baf" localSheetId="25">#REF!</definedName>
    <definedName name="baf" localSheetId="12">#REF!</definedName>
    <definedName name="baf" localSheetId="14">#REF!</definedName>
    <definedName name="baf" localSheetId="30">#REF!</definedName>
    <definedName name="baf" localSheetId="31">#REF!</definedName>
    <definedName name="baf" localSheetId="32">#REF!</definedName>
    <definedName name="baf" localSheetId="36">#REF!</definedName>
    <definedName name="baf" localSheetId="37">#REF!</definedName>
    <definedName name="baf" localSheetId="38">#REF!</definedName>
    <definedName name="baf">#REF!</definedName>
    <definedName name="Beg_Bal" localSheetId="10">#REF!</definedName>
    <definedName name="Beg_Bal" localSheetId="11">#REF!</definedName>
    <definedName name="Beg_Bal" localSheetId="23">#REF!</definedName>
    <definedName name="Beg_Bal" localSheetId="24">#REF!</definedName>
    <definedName name="Beg_Bal" localSheetId="22">#REF!</definedName>
    <definedName name="Beg_Bal" localSheetId="25">#REF!</definedName>
    <definedName name="Beg_Bal" localSheetId="29">#REF!</definedName>
    <definedName name="Beg_Bal" localSheetId="27">#REF!</definedName>
    <definedName name="Beg_Bal" localSheetId="28">#REF!</definedName>
    <definedName name="Beg_Bal" localSheetId="12">#REF!</definedName>
    <definedName name="Beg_Bal" localSheetId="13">#REF!</definedName>
    <definedName name="Beg_Bal" localSheetId="14">#REF!</definedName>
    <definedName name="Beg_Bal" localSheetId="19">#REF!</definedName>
    <definedName name="Beg_Bal" localSheetId="30">#REF!</definedName>
    <definedName name="Beg_Bal" localSheetId="31">#REF!</definedName>
    <definedName name="Beg_Bal" localSheetId="32">#REF!</definedName>
    <definedName name="Beg_Bal" localSheetId="36">#REF!</definedName>
    <definedName name="Beg_Bal" localSheetId="35">#REF!</definedName>
    <definedName name="Beg_Bal" localSheetId="34">#REF!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2">#REF!</definedName>
    <definedName name="Beg_Bal" localSheetId="48">#REF!</definedName>
    <definedName name="Beg_Bal" localSheetId="49">#REF!</definedName>
    <definedName name="Beg_Bal" localSheetId="44">#REF!</definedName>
    <definedName name="Beg_Bal" localSheetId="45">#REF!</definedName>
    <definedName name="Beg_Bal" localSheetId="46">#REF!</definedName>
    <definedName name="Beg_Bal" localSheetId="47">#REF!</definedName>
    <definedName name="Beg_Bal" localSheetId="33">#REF!</definedName>
    <definedName name="Beg_Bal" localSheetId="43">#REF!</definedName>
    <definedName name="Beg_Bal" localSheetId="26">#REF!</definedName>
    <definedName name="Beg_Bal" localSheetId="1">#REF!</definedName>
    <definedName name="Beg_Bal">#REF!</definedName>
    <definedName name="bghrerr" localSheetId="10">#REF!</definedName>
    <definedName name="bghrerr" localSheetId="11">#REF!</definedName>
    <definedName name="bghrerr" localSheetId="23">#REF!</definedName>
    <definedName name="bghrerr" localSheetId="24">#REF!</definedName>
    <definedName name="bghrerr" localSheetId="22">#REF!</definedName>
    <definedName name="bghrerr" localSheetId="25">#REF!</definedName>
    <definedName name="bghrerr" localSheetId="29">#REF!</definedName>
    <definedName name="bghrerr" localSheetId="27">#REF!</definedName>
    <definedName name="bghrerr" localSheetId="28">#REF!</definedName>
    <definedName name="bghrerr" localSheetId="12">#REF!</definedName>
    <definedName name="bghrerr" localSheetId="13">#REF!</definedName>
    <definedName name="bghrerr" localSheetId="14">#REF!</definedName>
    <definedName name="bghrerr" localSheetId="19">#REF!</definedName>
    <definedName name="bghrerr" localSheetId="30">#REF!</definedName>
    <definedName name="bghrerr" localSheetId="31">#REF!</definedName>
    <definedName name="bghrerr" localSheetId="32">#REF!</definedName>
    <definedName name="bghrerr" localSheetId="36">#REF!</definedName>
    <definedName name="bghrerr" localSheetId="35">#REF!</definedName>
    <definedName name="bghrerr" localSheetId="34">#REF!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2">#REF!</definedName>
    <definedName name="bghrerr" localSheetId="48">#REF!</definedName>
    <definedName name="bghrerr" localSheetId="49">#REF!</definedName>
    <definedName name="bghrerr" localSheetId="44">#REF!</definedName>
    <definedName name="bghrerr" localSheetId="45">#REF!</definedName>
    <definedName name="bghrerr" localSheetId="46">#REF!</definedName>
    <definedName name="bghrerr" localSheetId="47">#REF!</definedName>
    <definedName name="bghrerr" localSheetId="33">#REF!</definedName>
    <definedName name="bghrerr" localSheetId="43">#REF!</definedName>
    <definedName name="bghrerr" localSheetId="1">#REF!</definedName>
    <definedName name="bghrerr">#REF!</definedName>
    <definedName name="bhvfdgvf" localSheetId="10">#REF!</definedName>
    <definedName name="bhvfdgvf" localSheetId="11">#REF!</definedName>
    <definedName name="bhvfdgvf" localSheetId="23">#REF!</definedName>
    <definedName name="bhvfdgvf" localSheetId="24">#REF!</definedName>
    <definedName name="bhvfdgvf" localSheetId="22">#REF!</definedName>
    <definedName name="bhvfdgvf" localSheetId="25">#REF!</definedName>
    <definedName name="bhvfdgvf" localSheetId="29">#REF!</definedName>
    <definedName name="bhvfdgvf" localSheetId="27">#REF!</definedName>
    <definedName name="bhvfdgvf" localSheetId="28">#REF!</definedName>
    <definedName name="bhvfdgvf" localSheetId="12">#REF!</definedName>
    <definedName name="bhvfdgvf" localSheetId="13">#REF!</definedName>
    <definedName name="bhvfdgvf" localSheetId="14">#REF!</definedName>
    <definedName name="bhvfdgvf" localSheetId="19">#REF!</definedName>
    <definedName name="bhvfdgvf" localSheetId="30">#REF!</definedName>
    <definedName name="bhvfdgvf" localSheetId="31">#REF!</definedName>
    <definedName name="bhvfdgvf" localSheetId="32">#REF!</definedName>
    <definedName name="bhvfdgvf" localSheetId="36">#REF!</definedName>
    <definedName name="bhvfdgvf" localSheetId="35">#REF!</definedName>
    <definedName name="bhvfdgvf" localSheetId="34">#REF!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2">#REF!</definedName>
    <definedName name="bhvfdgvf" localSheetId="48">#REF!</definedName>
    <definedName name="bhvfdgvf" localSheetId="49">#REF!</definedName>
    <definedName name="bhvfdgvf" localSheetId="44">#REF!</definedName>
    <definedName name="bhvfdgvf" localSheetId="45">#REF!</definedName>
    <definedName name="bhvfdgvf" localSheetId="46">#REF!</definedName>
    <definedName name="bhvfdgvf" localSheetId="47">#REF!</definedName>
    <definedName name="bhvfdgvf" localSheetId="33">#REF!</definedName>
    <definedName name="bhvfdgvf" localSheetId="43">#REF!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23">'[8]Rekapitulace roz.  vč. kapitol'!#REF!</definedName>
    <definedName name="body_celkem" localSheetId="24">'[8]Rekapitulace roz.  vč. kapitol'!#REF!</definedName>
    <definedName name="body_celkem" localSheetId="22">'[8]Rekapitulace roz.  vč. kapitol'!#REF!</definedName>
    <definedName name="body_celkem" localSheetId="25">'[8]Rekapitulace roz.  vč. kapitol'!#REF!</definedName>
    <definedName name="body_celkem" localSheetId="29">'[8]Rekapitulace roz.  vč. kapitol'!#REF!</definedName>
    <definedName name="body_celkem" localSheetId="27">'[8]Rekapitulace roz.  vč. kapitol'!#REF!</definedName>
    <definedName name="body_celkem" localSheetId="28">'[8]Rekapitulace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9">'[8]Rekapitulace roz.  vč. kapitol'!#REF!</definedName>
    <definedName name="body_celkem" localSheetId="30">'[8]Rekapitulace roz.  vč. kapitol'!#REF!</definedName>
    <definedName name="body_celkem" localSheetId="31">'[8]Rekapitulace roz.  vč. kapitol'!#REF!</definedName>
    <definedName name="body_celkem" localSheetId="32">'[8]Rekapitulace roz.  vč. kapitol'!#REF!</definedName>
    <definedName name="body_celkem" localSheetId="36">'[8]Rekapitulace roz.  vč. kapitol'!#REF!</definedName>
    <definedName name="body_celkem" localSheetId="35">'[8]Rekapitulace roz.  vč. kapitol'!#REF!</definedName>
    <definedName name="body_celkem" localSheetId="34">'[8]Rekapitulace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2">'[8]Rekapitulace roz.  vč. kapitol'!#REF!</definedName>
    <definedName name="body_celkem" localSheetId="48">'[8]Rekapitulace roz.  vč. kapitol'!#REF!</definedName>
    <definedName name="body_celkem" localSheetId="49">'[8]Rekapitulace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33">'[8]Rekapitulace roz.  vč. kapitol'!#REF!</definedName>
    <definedName name="body_celkem" localSheetId="43">'[8]Rekapitulace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23">'[8]Rekapitulace roz.  vč. kapitol'!#REF!</definedName>
    <definedName name="body_kapitoly" localSheetId="24">'[8]Rekapitulace roz.  vč. kapitol'!#REF!</definedName>
    <definedName name="body_kapitoly" localSheetId="22">'[8]Rekapitulace roz.  vč. kapitol'!#REF!</definedName>
    <definedName name="body_kapitoly" localSheetId="25">'[8]Rekapitulace roz.  vč. kapitol'!#REF!</definedName>
    <definedName name="body_kapitoly" localSheetId="29">'[8]Rekapitulace roz.  vč. kapitol'!#REF!</definedName>
    <definedName name="body_kapitoly" localSheetId="27">'[8]Rekapitulace roz.  vč. kapitol'!#REF!</definedName>
    <definedName name="body_kapitoly" localSheetId="28">'[8]Rekapitulace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9">'[8]Rekapitulace roz.  vč. kapitol'!#REF!</definedName>
    <definedName name="body_kapitoly" localSheetId="30">'[8]Rekapitulace roz.  vč. kapitol'!#REF!</definedName>
    <definedName name="body_kapitoly" localSheetId="31">'[8]Rekapitulace roz.  vč. kapitol'!#REF!</definedName>
    <definedName name="body_kapitoly" localSheetId="32">'[8]Rekapitulace roz.  vč. kapitol'!#REF!</definedName>
    <definedName name="body_kapitoly" localSheetId="36">'[8]Rekapitulace roz.  vč. kapitol'!#REF!</definedName>
    <definedName name="body_kapitoly" localSheetId="35">'[8]Rekapitulace roz.  vč. kapitol'!#REF!</definedName>
    <definedName name="body_kapitoly" localSheetId="34">'[8]Rekapitulace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2">'[8]Rekapitulace roz.  vč. kapitol'!#REF!</definedName>
    <definedName name="body_kapitoly" localSheetId="48">'[8]Rekapitulace roz.  vč. kapitol'!#REF!</definedName>
    <definedName name="body_kapitoly" localSheetId="49">'[8]Rekapitulace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33">'[8]Rekapitulace roz.  vč. kapitol'!#REF!</definedName>
    <definedName name="body_kapitoly" localSheetId="43">'[8]Rekapitulace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23">'[8]Rekapitulace roz.  vč. kapitol'!#REF!</definedName>
    <definedName name="body_pomocny" localSheetId="24">'[8]Rekapitulace roz.  vč. kapitol'!#REF!</definedName>
    <definedName name="body_pomocny" localSheetId="22">'[8]Rekapitulace roz.  vč. kapitol'!#REF!</definedName>
    <definedName name="body_pomocny" localSheetId="25">'[8]Rekapitulace roz.  vč. kapitol'!#REF!</definedName>
    <definedName name="body_pomocny" localSheetId="29">'[8]Rekapitulace roz.  vč. kapitol'!#REF!</definedName>
    <definedName name="body_pomocny" localSheetId="27">'[8]Rekapitulace roz.  vč. kapitol'!#REF!</definedName>
    <definedName name="body_pomocny" localSheetId="28">'[8]Rekapitulace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9">'[8]Rekapitulace roz.  vč. kapitol'!#REF!</definedName>
    <definedName name="body_pomocny" localSheetId="30">'[8]Rekapitulace roz.  vč. kapitol'!#REF!</definedName>
    <definedName name="body_pomocny" localSheetId="31">'[8]Rekapitulace roz.  vč. kapitol'!#REF!</definedName>
    <definedName name="body_pomocny" localSheetId="32">'[8]Rekapitulace roz.  vč. kapitol'!#REF!</definedName>
    <definedName name="body_pomocny" localSheetId="36">'[8]Rekapitulace roz.  vč. kapitol'!#REF!</definedName>
    <definedName name="body_pomocny" localSheetId="35">'[8]Rekapitulace roz.  vč. kapitol'!#REF!</definedName>
    <definedName name="body_pomocny" localSheetId="34">'[8]Rekapitulace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2">'[8]Rekapitulace roz.  vč. kapitol'!#REF!</definedName>
    <definedName name="body_pomocny" localSheetId="48">'[8]Rekapitulace roz.  vč. kapitol'!#REF!</definedName>
    <definedName name="body_pomocny" localSheetId="49">'[8]Rekapitulace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33">'[8]Rekapitulace roz.  vč. kapitol'!#REF!</definedName>
    <definedName name="body_pomocny" localSheetId="43">'[8]Rekapitulace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23">'[8]Rekapitulace roz.  vč. kapitol'!#REF!</definedName>
    <definedName name="body_rozpocty" localSheetId="24">'[8]Rekapitulace roz.  vč. kapitol'!#REF!</definedName>
    <definedName name="body_rozpocty" localSheetId="22">'[8]Rekapitulace roz.  vč. kapitol'!#REF!</definedName>
    <definedName name="body_rozpocty" localSheetId="25">'[8]Rekapitulace roz.  vč. kapitol'!#REF!</definedName>
    <definedName name="body_rozpocty" localSheetId="29">'[8]Rekapitulace roz.  vč. kapitol'!#REF!</definedName>
    <definedName name="body_rozpocty" localSheetId="27">'[8]Rekapitulace roz.  vč. kapitol'!#REF!</definedName>
    <definedName name="body_rozpocty" localSheetId="28">'[8]Rekapitulace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9">'[8]Rekapitulace roz.  vč. kapitol'!#REF!</definedName>
    <definedName name="body_rozpocty" localSheetId="30">'[8]Rekapitulace roz.  vč. kapitol'!#REF!</definedName>
    <definedName name="body_rozpocty" localSheetId="31">'[8]Rekapitulace roz.  vč. kapitol'!#REF!</definedName>
    <definedName name="body_rozpocty" localSheetId="32">'[8]Rekapitulace roz.  vč. kapitol'!#REF!</definedName>
    <definedName name="body_rozpocty" localSheetId="36">'[8]Rekapitulace roz.  vč. kapitol'!#REF!</definedName>
    <definedName name="body_rozpocty" localSheetId="35">'[8]Rekapitulace roz.  vč. kapitol'!#REF!</definedName>
    <definedName name="body_rozpocty" localSheetId="34">'[8]Rekapitulace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2">'[8]Rekapitulace roz.  vč. kapitol'!#REF!</definedName>
    <definedName name="body_rozpocty" localSheetId="48">'[8]Rekapitulace roz.  vč. kapitol'!#REF!</definedName>
    <definedName name="body_rozpocty" localSheetId="49">'[8]Rekapitulace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33">'[8]Rekapitulace roz.  vč. kapitol'!#REF!</definedName>
    <definedName name="body_rozpocty" localSheetId="43">'[8]Rekapitulace roz.  vč. kapitol'!#REF!</definedName>
    <definedName name="body_rozpocty">'[8]Rekapitulace roz.  vč. kapitol'!#REF!</definedName>
    <definedName name="category1" localSheetId="10">#REF!</definedName>
    <definedName name="category1" localSheetId="11">#REF!</definedName>
    <definedName name="category1" localSheetId="23">#REF!</definedName>
    <definedName name="category1" localSheetId="24">#REF!</definedName>
    <definedName name="category1" localSheetId="22">#REF!</definedName>
    <definedName name="category1" localSheetId="25">#REF!</definedName>
    <definedName name="category1" localSheetId="29">#REF!</definedName>
    <definedName name="category1" localSheetId="27">#REF!</definedName>
    <definedName name="category1" localSheetId="28">#REF!</definedName>
    <definedName name="category1" localSheetId="12">#REF!</definedName>
    <definedName name="category1" localSheetId="13">#REF!</definedName>
    <definedName name="category1" localSheetId="14">#REF!</definedName>
    <definedName name="category1" localSheetId="19">#REF!</definedName>
    <definedName name="category1" localSheetId="30">#REF!</definedName>
    <definedName name="category1" localSheetId="31">#REF!</definedName>
    <definedName name="category1" localSheetId="32">#REF!</definedName>
    <definedName name="category1" localSheetId="36">#REF!</definedName>
    <definedName name="category1" localSheetId="35">#REF!</definedName>
    <definedName name="category1" localSheetId="34">#REF!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2">#REF!</definedName>
    <definedName name="category1" localSheetId="48">#REF!</definedName>
    <definedName name="category1" localSheetId="49">#REF!</definedName>
    <definedName name="category1" localSheetId="44">#REF!</definedName>
    <definedName name="category1" localSheetId="45">#REF!</definedName>
    <definedName name="category1" localSheetId="46">#REF!</definedName>
    <definedName name="category1" localSheetId="47">#REF!</definedName>
    <definedName name="category1" localSheetId="18">#REF!</definedName>
    <definedName name="category1" localSheetId="33">#REF!</definedName>
    <definedName name="category1" localSheetId="43">#REF!</definedName>
    <definedName name="category1" localSheetId="26">#REF!</definedName>
    <definedName name="category1" localSheetId="1">#REF!</definedName>
    <definedName name="category1">#REF!</definedName>
    <definedName name="CelkemObjekty" localSheetId="0">KL!$F$69</definedName>
    <definedName name="celkrozp" localSheetId="10">#REF!</definedName>
    <definedName name="celkrozp" localSheetId="11">#REF!</definedName>
    <definedName name="celkrozp" localSheetId="23">#REF!</definedName>
    <definedName name="celkrozp" localSheetId="24">#REF!</definedName>
    <definedName name="celkrozp" localSheetId="22">#REF!</definedName>
    <definedName name="celkrozp" localSheetId="25">#REF!</definedName>
    <definedName name="celkrozp" localSheetId="29">#REF!</definedName>
    <definedName name="celkrozp" localSheetId="27">#REF!</definedName>
    <definedName name="celkrozp" localSheetId="28">#REF!</definedName>
    <definedName name="celkrozp" localSheetId="12">#REF!</definedName>
    <definedName name="celkrozp" localSheetId="13">#REF!</definedName>
    <definedName name="celkrozp" localSheetId="14">#REF!</definedName>
    <definedName name="celkrozp" localSheetId="19">#REF!</definedName>
    <definedName name="celkrozp" localSheetId="30">#REF!</definedName>
    <definedName name="celkrozp" localSheetId="31">#REF!</definedName>
    <definedName name="celkrozp" localSheetId="32">#REF!</definedName>
    <definedName name="celkrozp" localSheetId="36">#REF!</definedName>
    <definedName name="celkrozp" localSheetId="35">#REF!</definedName>
    <definedName name="celkrozp" localSheetId="34">#REF!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2">#REF!</definedName>
    <definedName name="celkrozp" localSheetId="48">#REF!</definedName>
    <definedName name="celkrozp" localSheetId="49">#REF!</definedName>
    <definedName name="celkrozp" localSheetId="44">#REF!</definedName>
    <definedName name="celkrozp" localSheetId="45">#REF!</definedName>
    <definedName name="celkrozp" localSheetId="46">#REF!</definedName>
    <definedName name="celkrozp" localSheetId="47">#REF!</definedName>
    <definedName name="celkrozp" localSheetId="18">#REF!</definedName>
    <definedName name="celkrozp" localSheetId="33">#REF!</definedName>
    <definedName name="celkrozp" localSheetId="43">#REF!</definedName>
    <definedName name="celkrozp" localSheetId="1">#REF!</definedName>
    <definedName name="celkrozp">#REF!</definedName>
    <definedName name="cisloobjektu" localSheetId="10">#REF!</definedName>
    <definedName name="cisloobjektu" localSheetId="11">#REF!</definedName>
    <definedName name="cisloobjektu" localSheetId="23">#REF!</definedName>
    <definedName name="cisloobjektu" localSheetId="24">#REF!</definedName>
    <definedName name="cisloobjektu" localSheetId="22">#REF!</definedName>
    <definedName name="cisloobjektu" localSheetId="25">#REF!</definedName>
    <definedName name="cisloobjektu" localSheetId="29">#REF!</definedName>
    <definedName name="cisloobjektu" localSheetId="27">#REF!</definedName>
    <definedName name="cisloobjektu" localSheetId="28">#REF!</definedName>
    <definedName name="cisloobjektu" localSheetId="12">#REF!</definedName>
    <definedName name="cisloobjektu" localSheetId="13">#REF!</definedName>
    <definedName name="cisloobjektu" localSheetId="14">#REF!</definedName>
    <definedName name="cisloobjektu" localSheetId="19">#REF!</definedName>
    <definedName name="cisloobjektu" localSheetId="30">#REF!</definedName>
    <definedName name="cisloobjektu" localSheetId="31">#REF!</definedName>
    <definedName name="cisloobjektu" localSheetId="32">#REF!</definedName>
    <definedName name="cisloobjektu" localSheetId="36">#REF!</definedName>
    <definedName name="cisloobjektu" localSheetId="35">#REF!</definedName>
    <definedName name="cisloobjektu" localSheetId="34">#REF!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2">#REF!</definedName>
    <definedName name="cisloobjektu" localSheetId="48">#REF!</definedName>
    <definedName name="cisloobjektu" localSheetId="49">#REF!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0">#REF!</definedName>
    <definedName name="cisloobjektu" localSheetId="18">#REF!</definedName>
    <definedName name="cisloobjektu" localSheetId="33">#REF!</definedName>
    <definedName name="cisloobjektu" localSheetId="43">#REF!</definedName>
    <definedName name="cisloobjektu" localSheetId="1">#REF!</definedName>
    <definedName name="cisloobjektu">#REF!</definedName>
    <definedName name="cislostavby" localSheetId="10">#REF!</definedName>
    <definedName name="cislostavby" localSheetId="11">#REF!</definedName>
    <definedName name="cislostavby" localSheetId="23">#REF!</definedName>
    <definedName name="cislostavby" localSheetId="24">#REF!</definedName>
    <definedName name="cislostavby" localSheetId="22">#REF!</definedName>
    <definedName name="cislostavby" localSheetId="25">#REF!</definedName>
    <definedName name="cislostavby" localSheetId="29">#REF!</definedName>
    <definedName name="cislostavby" localSheetId="27">#REF!</definedName>
    <definedName name="cislostavby" localSheetId="28">#REF!</definedName>
    <definedName name="cislostavby" localSheetId="12">#REF!</definedName>
    <definedName name="cislostavby" localSheetId="14">#REF!</definedName>
    <definedName name="cislostavby" localSheetId="19">#REF!</definedName>
    <definedName name="cislostavby" localSheetId="30">#REF!</definedName>
    <definedName name="cislostavby" localSheetId="31">#REF!</definedName>
    <definedName name="cislostavby" localSheetId="32">#REF!</definedName>
    <definedName name="cislostavby" localSheetId="36">#REF!</definedName>
    <definedName name="cislostavby" localSheetId="35">#REF!</definedName>
    <definedName name="cislostavby" localSheetId="34">#REF!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2">#REF!</definedName>
    <definedName name="cislostavby" localSheetId="48">#REF!</definedName>
    <definedName name="cislostavby" localSheetId="49">#REF!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0">KL!#REF!</definedName>
    <definedName name="cislostavby" localSheetId="33">#REF!</definedName>
    <definedName name="cislostavby" localSheetId="43">#REF!</definedName>
    <definedName name="cislostavby" localSheetId="1">#REF!</definedName>
    <definedName name="cislostavby">#REF!</definedName>
    <definedName name="d" localSheetId="10" hidden="1">{#N/A,#N/A,TRUE,"Krycí list"}</definedName>
    <definedName name="d" localSheetId="11" hidden="1">{#N/A,#N/A,TRUE,"Krycí list"}</definedName>
    <definedName name="d" localSheetId="23" hidden="1">{#N/A,#N/A,TRUE,"Krycí list"}</definedName>
    <definedName name="d" localSheetId="24" hidden="1">{#N/A,#N/A,TRUE,"Krycí list"}</definedName>
    <definedName name="d" localSheetId="22" hidden="1">{#N/A,#N/A,TRUE,"Krycí list"}</definedName>
    <definedName name="d" localSheetId="25" hidden="1">{#N/A,#N/A,TRUE,"Krycí list"}</definedName>
    <definedName name="d" localSheetId="29" hidden="1">{#N/A,#N/A,TRUE,"Krycí list"}</definedName>
    <definedName name="d" localSheetId="27" hidden="1">{#N/A,#N/A,TRUE,"Krycí list"}</definedName>
    <definedName name="d" localSheetId="28"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9" hidden="1">{#N/A,#N/A,TRUE,"Krycí list"}</definedName>
    <definedName name="d" localSheetId="30" hidden="1">{#N/A,#N/A,TRUE,"Krycí list"}</definedName>
    <definedName name="d" localSheetId="31" hidden="1">{#N/A,#N/A,TRUE,"Krycí list"}</definedName>
    <definedName name="d" localSheetId="32"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42" hidden="1">{#N/A,#N/A,TRUE,"Krycí list"}</definedName>
    <definedName name="d" localSheetId="0" hidden="1">{#N/A,#N/A,TRUE,"Krycí list"}</definedName>
    <definedName name="d" localSheetId="18" hidden="1">{#N/A,#N/A,TRUE,"Krycí list"}</definedName>
    <definedName name="d" localSheetId="33" hidden="1">{#N/A,#N/A,TRUE,"Krycí list"}</definedName>
    <definedName name="d" localSheetId="43" hidden="1">{#N/A,#N/A,TRUE,"Krycí list"}</definedName>
    <definedName name="d" localSheetId="26" hidden="1">{#N/A,#N/A,TRUE,"Krycí list"}</definedName>
    <definedName name="d" localSheetId="21"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11">#REF!</definedName>
    <definedName name="Data" localSheetId="23">#REF!</definedName>
    <definedName name="Data" localSheetId="24">#REF!</definedName>
    <definedName name="Data" localSheetId="22">#REF!</definedName>
    <definedName name="Data" localSheetId="25">#REF!</definedName>
    <definedName name="Data" localSheetId="29">#REF!</definedName>
    <definedName name="Data" localSheetId="27">#REF!</definedName>
    <definedName name="Data" localSheetId="28">#REF!</definedName>
    <definedName name="Data" localSheetId="12">#REF!</definedName>
    <definedName name="Data" localSheetId="13">#REF!</definedName>
    <definedName name="Data" localSheetId="14">#REF!</definedName>
    <definedName name="Data" localSheetId="19">#REF!</definedName>
    <definedName name="Data" localSheetId="30">#REF!</definedName>
    <definedName name="Data" localSheetId="31">#REF!</definedName>
    <definedName name="Data" localSheetId="32">#REF!</definedName>
    <definedName name="Data" localSheetId="36">#REF!</definedName>
    <definedName name="Data" localSheetId="35">#REF!</definedName>
    <definedName name="Data" localSheetId="34">#REF!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2">#REF!</definedName>
    <definedName name="Data" localSheetId="48">#REF!</definedName>
    <definedName name="Data" localSheetId="49">#REF!</definedName>
    <definedName name="Data" localSheetId="44">#REF!</definedName>
    <definedName name="Data" localSheetId="45">#REF!</definedName>
    <definedName name="Data" localSheetId="46">#REF!</definedName>
    <definedName name="Data" localSheetId="47">#REF!</definedName>
    <definedName name="Data" localSheetId="33">#REF!</definedName>
    <definedName name="Data" localSheetId="43">#REF!</definedName>
    <definedName name="Data" localSheetId="26">#REF!</definedName>
    <definedName name="Data" localSheetId="1">#REF!</definedName>
    <definedName name="Data">#REF!</definedName>
    <definedName name="Datum" localSheetId="10">#REF!</definedName>
    <definedName name="Datum" localSheetId="11">#REF!</definedName>
    <definedName name="Datum" localSheetId="23">#REF!</definedName>
    <definedName name="Datum" localSheetId="24">#REF!</definedName>
    <definedName name="Datum" localSheetId="22">#REF!</definedName>
    <definedName name="Datum" localSheetId="25">#REF!</definedName>
    <definedName name="Datum" localSheetId="29">#REF!</definedName>
    <definedName name="Datum" localSheetId="27">#REF!</definedName>
    <definedName name="Datum" localSheetId="28">#REF!</definedName>
    <definedName name="Datum" localSheetId="12">#REF!</definedName>
    <definedName name="Datum" localSheetId="13">#REF!</definedName>
    <definedName name="Datum" localSheetId="14">#REF!</definedName>
    <definedName name="Datum" localSheetId="19">#REF!</definedName>
    <definedName name="Datum" localSheetId="30">#REF!</definedName>
    <definedName name="Datum" localSheetId="31">#REF!</definedName>
    <definedName name="Datum" localSheetId="32">#REF!</definedName>
    <definedName name="Datum" localSheetId="36">#REF!</definedName>
    <definedName name="Datum" localSheetId="35">#REF!</definedName>
    <definedName name="Datum" localSheetId="34">#REF!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2">#REF!</definedName>
    <definedName name="Datum" localSheetId="48">#REF!</definedName>
    <definedName name="Datum" localSheetId="49">#REF!</definedName>
    <definedName name="Datum" localSheetId="44">#REF!</definedName>
    <definedName name="Datum" localSheetId="45">#REF!</definedName>
    <definedName name="Datum" localSheetId="46">#REF!</definedName>
    <definedName name="Datum" localSheetId="47">#REF!</definedName>
    <definedName name="Datum" localSheetId="0">#REF!</definedName>
    <definedName name="Datum" localSheetId="33">#REF!</definedName>
    <definedName name="Datum" localSheetId="43">#REF!</definedName>
    <definedName name="Datum" localSheetId="1">#REF!</definedName>
    <definedName name="Datum">#REF!</definedName>
    <definedName name="dfdaf" localSheetId="10">#REF!</definedName>
    <definedName name="dfdaf" localSheetId="11">#REF!</definedName>
    <definedName name="dfdaf" localSheetId="23">#REF!</definedName>
    <definedName name="dfdaf" localSheetId="24">#REF!</definedName>
    <definedName name="dfdaf" localSheetId="22">#REF!</definedName>
    <definedName name="dfdaf" localSheetId="25">#REF!</definedName>
    <definedName name="dfdaf" localSheetId="29">#REF!</definedName>
    <definedName name="dfdaf" localSheetId="27">#REF!</definedName>
    <definedName name="dfdaf" localSheetId="28">#REF!</definedName>
    <definedName name="dfdaf" localSheetId="12">#REF!</definedName>
    <definedName name="dfdaf" localSheetId="13">#REF!</definedName>
    <definedName name="dfdaf" localSheetId="14">#REF!</definedName>
    <definedName name="dfdaf" localSheetId="19">#REF!</definedName>
    <definedName name="dfdaf" localSheetId="30">#REF!</definedName>
    <definedName name="dfdaf" localSheetId="31">#REF!</definedName>
    <definedName name="dfdaf" localSheetId="32">#REF!</definedName>
    <definedName name="dfdaf" localSheetId="36">#REF!</definedName>
    <definedName name="dfdaf" localSheetId="35">#REF!</definedName>
    <definedName name="dfdaf" localSheetId="34">#REF!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2">#REF!</definedName>
    <definedName name="dfdaf" localSheetId="48">#REF!</definedName>
    <definedName name="dfdaf" localSheetId="49">#REF!</definedName>
    <definedName name="dfdaf" localSheetId="44">#REF!</definedName>
    <definedName name="dfdaf" localSheetId="45">#REF!</definedName>
    <definedName name="dfdaf" localSheetId="46">#REF!</definedName>
    <definedName name="dfdaf" localSheetId="47">#REF!</definedName>
    <definedName name="dfdaf" localSheetId="33">#REF!</definedName>
    <definedName name="dfdaf" localSheetId="43">#REF!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23">#REF!</definedName>
    <definedName name="Dil" localSheetId="24">#REF!</definedName>
    <definedName name="Dil" localSheetId="22">#REF!</definedName>
    <definedName name="Dil" localSheetId="25">#REF!</definedName>
    <definedName name="Dil" localSheetId="29">#REF!</definedName>
    <definedName name="Dil" localSheetId="27">#REF!</definedName>
    <definedName name="Dil" localSheetId="28">#REF!</definedName>
    <definedName name="Dil" localSheetId="12">#REF!</definedName>
    <definedName name="Dil" localSheetId="14">#REF!</definedName>
    <definedName name="Dil" localSheetId="19">#REF!</definedName>
    <definedName name="Dil" localSheetId="30">#REF!</definedName>
    <definedName name="Dil" localSheetId="31">#REF!</definedName>
    <definedName name="Dil" localSheetId="32">#REF!</definedName>
    <definedName name="Dil" localSheetId="36">#REF!</definedName>
    <definedName name="Dil" localSheetId="35">#REF!</definedName>
    <definedName name="Dil" localSheetId="34">#REF!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2">#REF!</definedName>
    <definedName name="Dil" localSheetId="48">#REF!</definedName>
    <definedName name="Dil" localSheetId="49">#REF!</definedName>
    <definedName name="Dil" localSheetId="44">#REF!</definedName>
    <definedName name="Dil" localSheetId="45">#REF!</definedName>
    <definedName name="Dil" localSheetId="46">#REF!</definedName>
    <definedName name="Dil" localSheetId="47">#REF!</definedName>
    <definedName name="Dil" localSheetId="0">#REF!</definedName>
    <definedName name="Dil" localSheetId="33">#REF!</definedName>
    <definedName name="Dil" localSheetId="43">#REF!</definedName>
    <definedName name="Dil" localSheetId="1">#REF!</definedName>
    <definedName name="Dil">#REF!</definedName>
    <definedName name="DKGJSDGS" localSheetId="10">#REF!</definedName>
    <definedName name="DKGJSDGS" localSheetId="11">#REF!</definedName>
    <definedName name="DKGJSDGS" localSheetId="23">#REF!</definedName>
    <definedName name="DKGJSDGS" localSheetId="24">#REF!</definedName>
    <definedName name="DKGJSDGS" localSheetId="22">#REF!</definedName>
    <definedName name="DKGJSDGS" localSheetId="25">#REF!</definedName>
    <definedName name="DKGJSDGS" localSheetId="29">#REF!</definedName>
    <definedName name="DKGJSDGS" localSheetId="27">#REF!</definedName>
    <definedName name="DKGJSDGS" localSheetId="28">#REF!</definedName>
    <definedName name="DKGJSDGS" localSheetId="12">#REF!</definedName>
    <definedName name="DKGJSDGS" localSheetId="14">#REF!</definedName>
    <definedName name="DKGJSDGS" localSheetId="19">#REF!</definedName>
    <definedName name="DKGJSDGS" localSheetId="30">#REF!</definedName>
    <definedName name="DKGJSDGS" localSheetId="31">#REF!</definedName>
    <definedName name="DKGJSDGS" localSheetId="32">#REF!</definedName>
    <definedName name="DKGJSDGS" localSheetId="36">#REF!</definedName>
    <definedName name="DKGJSDGS" localSheetId="35">#REF!</definedName>
    <definedName name="DKGJSDGS" localSheetId="34">#REF!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2">#REF!</definedName>
    <definedName name="DKGJSDGS" localSheetId="48">#REF!</definedName>
    <definedName name="DKGJSDGS" localSheetId="49">#REF!</definedName>
    <definedName name="DKGJSDGS" localSheetId="44">#REF!</definedName>
    <definedName name="DKGJSDGS" localSheetId="45">#REF!</definedName>
    <definedName name="DKGJSDGS" localSheetId="46">#REF!</definedName>
    <definedName name="DKGJSDGS" localSheetId="47">#REF!</definedName>
    <definedName name="DKGJSDGS" localSheetId="33">#REF!</definedName>
    <definedName name="DKGJSDGS" localSheetId="43">#REF!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23">'[9]F.1.4.5. ZZTI'!#REF!</definedName>
    <definedName name="dod" localSheetId="24">'[9]F.1.4.5. ZZTI'!#REF!</definedName>
    <definedName name="dod" localSheetId="22">'[9]F.1.4.5. ZZTI'!#REF!</definedName>
    <definedName name="dod" localSheetId="25">'[10]F.1.4.5. ZZTI'!#REF!</definedName>
    <definedName name="dod" localSheetId="29">'[10]F.1.4.5. ZZTI'!#REF!</definedName>
    <definedName name="dod" localSheetId="27">'[10]F.1.4.5. ZZTI'!#REF!</definedName>
    <definedName name="dod" localSheetId="28">'[10]F.1.4.5. ZZTI'!#REF!</definedName>
    <definedName name="dod" localSheetId="12">'[9]F.1.4.5. ZZTI'!#REF!</definedName>
    <definedName name="dod" localSheetId="13">'[10]F.1.4.5. ZZTI'!#REF!</definedName>
    <definedName name="dod" localSheetId="14">'[9]F.1.4.5. ZZTI'!#REF!</definedName>
    <definedName name="dod" localSheetId="19">'[10]F.1.4.5. ZZTI'!#REF!</definedName>
    <definedName name="dod" localSheetId="30">'[9]F.1.4.5. ZZTI'!#REF!</definedName>
    <definedName name="dod" localSheetId="31">'[9]F.1.4.5. ZZTI'!#REF!</definedName>
    <definedName name="dod" localSheetId="32">'[9]F.1.4.5. ZZTI'!#REF!</definedName>
    <definedName name="dod" localSheetId="36">'[9]F.1.4.5. ZZTI'!#REF!</definedName>
    <definedName name="dod" localSheetId="35">'[9]F.1.4.5. ZZTI'!#REF!</definedName>
    <definedName name="dod" localSheetId="34">'[9]F.1.4.5.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2">'[9]F.1.4.5. ZZTI'!#REF!</definedName>
    <definedName name="dod" localSheetId="48">'[9]F.1.4.5. ZZTI'!#REF!</definedName>
    <definedName name="dod" localSheetId="49">'[9]F.1.4.5.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18">'[9]F.1.4.5. ZZTI'!#REF!</definedName>
    <definedName name="dod" localSheetId="33">'[9]F.1.4.5. ZZTI'!#REF!</definedName>
    <definedName name="dod" localSheetId="43">'[9]F.1.4.5. ZZTI'!#REF!</definedName>
    <definedName name="dod" localSheetId="26">'[9]F.1.4.5. ZZTI'!#REF!</definedName>
    <definedName name="dod" localSheetId="21">'[9]F.1.4.5. ZZTI'!#REF!</definedName>
    <definedName name="dod" localSheetId="1">'[9]F.1.4.5. ZZTI'!#REF!</definedName>
    <definedName name="dod">'[9]F.1.4.5. ZZTI'!#REF!</definedName>
    <definedName name="Dodavka" localSheetId="10">#REF!</definedName>
    <definedName name="Dodavka" localSheetId="11">#REF!</definedName>
    <definedName name="Dodavka" localSheetId="23">#REF!</definedName>
    <definedName name="Dodavka" localSheetId="24">#REF!</definedName>
    <definedName name="Dodavka" localSheetId="22">#REF!</definedName>
    <definedName name="Dodavka" localSheetId="25">#REF!</definedName>
    <definedName name="Dodavka" localSheetId="29">#REF!</definedName>
    <definedName name="Dodavka" localSheetId="27">#REF!</definedName>
    <definedName name="Dodavka" localSheetId="28">#REF!</definedName>
    <definedName name="Dodavka" localSheetId="12">#REF!</definedName>
    <definedName name="Dodavka" localSheetId="13">#REF!</definedName>
    <definedName name="Dodavka" localSheetId="14">#REF!</definedName>
    <definedName name="Dodavka" localSheetId="19">#REF!</definedName>
    <definedName name="Dodavka" localSheetId="30">#REF!</definedName>
    <definedName name="Dodavka" localSheetId="31">#REF!</definedName>
    <definedName name="Dodavka" localSheetId="32">#REF!</definedName>
    <definedName name="Dodavka" localSheetId="36">#REF!</definedName>
    <definedName name="Dodavka" localSheetId="35">#REF!</definedName>
    <definedName name="Dodavka" localSheetId="34">#REF!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2">#REF!</definedName>
    <definedName name="Dodavka" localSheetId="48">#REF!</definedName>
    <definedName name="Dodavka" localSheetId="49">#REF!</definedName>
    <definedName name="Dodavka" localSheetId="44">#REF!</definedName>
    <definedName name="Dodavka" localSheetId="45">#REF!</definedName>
    <definedName name="Dodavka" localSheetId="46">#REF!</definedName>
    <definedName name="Dodavka" localSheetId="47">#REF!</definedName>
    <definedName name="Dodavka" localSheetId="0">#REF!</definedName>
    <definedName name="Dodavka" localSheetId="18">#REF!</definedName>
    <definedName name="Dodavka" localSheetId="33">#REF!</definedName>
    <definedName name="Dodavka" localSheetId="43">#REF!</definedName>
    <definedName name="Dodavka" localSheetId="26">#REF!</definedName>
    <definedName name="Dodavka" localSheetId="21">#REF!</definedName>
    <definedName name="Dodavka" localSheetId="1">#REF!</definedName>
    <definedName name="Dodavka">#REF!</definedName>
    <definedName name="Dodavka0" localSheetId="10">#REF!</definedName>
    <definedName name="Dodavka0" localSheetId="11">#REF!</definedName>
    <definedName name="Dodavka0" localSheetId="23">#REF!</definedName>
    <definedName name="Dodavka0" localSheetId="24">#REF!</definedName>
    <definedName name="Dodavka0" localSheetId="22">#REF!</definedName>
    <definedName name="Dodavka0" localSheetId="25">#REF!</definedName>
    <definedName name="Dodavka0" localSheetId="29">#REF!</definedName>
    <definedName name="Dodavka0" localSheetId="27">#REF!</definedName>
    <definedName name="Dodavka0" localSheetId="28">#REF!</definedName>
    <definedName name="Dodavka0" localSheetId="12">#REF!</definedName>
    <definedName name="Dodavka0" localSheetId="13">#REF!</definedName>
    <definedName name="Dodavka0" localSheetId="14">#REF!</definedName>
    <definedName name="Dodavka0" localSheetId="19">#REF!</definedName>
    <definedName name="Dodavka0" localSheetId="30">#REF!</definedName>
    <definedName name="Dodavka0" localSheetId="31">#REF!</definedName>
    <definedName name="Dodavka0" localSheetId="32">#REF!</definedName>
    <definedName name="Dodavka0" localSheetId="36">#REF!</definedName>
    <definedName name="Dodavka0" localSheetId="35">#REF!</definedName>
    <definedName name="Dodavka0" localSheetId="34">#REF!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2">#REF!</definedName>
    <definedName name="Dodavka0" localSheetId="48">#REF!</definedName>
    <definedName name="Dodavka0" localSheetId="49">#REF!</definedName>
    <definedName name="Dodavka0" localSheetId="44">#REF!</definedName>
    <definedName name="Dodavka0" localSheetId="45">#REF!</definedName>
    <definedName name="Dodavka0" localSheetId="46">#REF!</definedName>
    <definedName name="Dodavka0" localSheetId="47">#REF!</definedName>
    <definedName name="Dodavka0" localSheetId="0">'[11]002-A.1. Archstav  reseni'!#REF!</definedName>
    <definedName name="Dodavka0" localSheetId="18">#REF!</definedName>
    <definedName name="Dodavka0" localSheetId="33">#REF!</definedName>
    <definedName name="Dodavka0" localSheetId="43">#REF!</definedName>
    <definedName name="Dodavka0" localSheetId="1">#REF!</definedName>
    <definedName name="Dodavka0">#REF!</definedName>
    <definedName name="dpsc" localSheetId="0">KL!#REF!</definedName>
    <definedName name="dsfbhbg" localSheetId="10">#REF!</definedName>
    <definedName name="dsfbhbg" localSheetId="11">#REF!</definedName>
    <definedName name="dsfbhbg" localSheetId="23">#REF!</definedName>
    <definedName name="dsfbhbg" localSheetId="24">#REF!</definedName>
    <definedName name="dsfbhbg" localSheetId="22">#REF!</definedName>
    <definedName name="dsfbhbg" localSheetId="25">#REF!</definedName>
    <definedName name="dsfbhbg" localSheetId="29">#REF!</definedName>
    <definedName name="dsfbhbg" localSheetId="27">#REF!</definedName>
    <definedName name="dsfbhbg" localSheetId="28">#REF!</definedName>
    <definedName name="dsfbhbg" localSheetId="12">#REF!</definedName>
    <definedName name="dsfbhbg" localSheetId="13">#REF!</definedName>
    <definedName name="dsfbhbg" localSheetId="14">#REF!</definedName>
    <definedName name="dsfbhbg" localSheetId="19">#REF!</definedName>
    <definedName name="dsfbhbg" localSheetId="30">#REF!</definedName>
    <definedName name="dsfbhbg" localSheetId="31">#REF!</definedName>
    <definedName name="dsfbhbg" localSheetId="32">#REF!</definedName>
    <definedName name="dsfbhbg" localSheetId="36">#REF!</definedName>
    <definedName name="dsfbhbg" localSheetId="35">#REF!</definedName>
    <definedName name="dsfbhbg" localSheetId="34">#REF!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2">#REF!</definedName>
    <definedName name="dsfbhbg" localSheetId="48">#REF!</definedName>
    <definedName name="dsfbhbg" localSheetId="49">#REF!</definedName>
    <definedName name="dsfbhbg" localSheetId="44">#REF!</definedName>
    <definedName name="dsfbhbg" localSheetId="45">#REF!</definedName>
    <definedName name="dsfbhbg" localSheetId="46">#REF!</definedName>
    <definedName name="dsfbhbg" localSheetId="47">#REF!</definedName>
    <definedName name="dsfbhbg" localSheetId="18">#REF!</definedName>
    <definedName name="dsfbhbg" localSheetId="33">#REF!</definedName>
    <definedName name="dsfbhbg" localSheetId="43">#REF!</definedName>
    <definedName name="dsfbhbg" localSheetId="1">#REF!</definedName>
    <definedName name="dsfbhbg">#REF!</definedName>
    <definedName name="End_Bal" localSheetId="10">#REF!</definedName>
    <definedName name="End_Bal" localSheetId="11">#REF!</definedName>
    <definedName name="End_Bal" localSheetId="23">#REF!</definedName>
    <definedName name="End_Bal" localSheetId="24">#REF!</definedName>
    <definedName name="End_Bal" localSheetId="22">#REF!</definedName>
    <definedName name="End_Bal" localSheetId="25">#REF!</definedName>
    <definedName name="End_Bal" localSheetId="29">#REF!</definedName>
    <definedName name="End_Bal" localSheetId="27">#REF!</definedName>
    <definedName name="End_Bal" localSheetId="28">#REF!</definedName>
    <definedName name="End_Bal" localSheetId="12">#REF!</definedName>
    <definedName name="End_Bal" localSheetId="14">#REF!</definedName>
    <definedName name="End_Bal" localSheetId="19">#REF!</definedName>
    <definedName name="End_Bal" localSheetId="30">#REF!</definedName>
    <definedName name="End_Bal" localSheetId="31">#REF!</definedName>
    <definedName name="End_Bal" localSheetId="32">#REF!</definedName>
    <definedName name="End_Bal" localSheetId="36">#REF!</definedName>
    <definedName name="End_Bal" localSheetId="35">#REF!</definedName>
    <definedName name="End_Bal" localSheetId="34">#REF!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2">#REF!</definedName>
    <definedName name="End_Bal" localSheetId="48">#REF!</definedName>
    <definedName name="End_Bal" localSheetId="49">#REF!</definedName>
    <definedName name="End_Bal" localSheetId="44">#REF!</definedName>
    <definedName name="End_Bal" localSheetId="45">#REF!</definedName>
    <definedName name="End_Bal" localSheetId="46">#REF!</definedName>
    <definedName name="End_Bal" localSheetId="47">#REF!</definedName>
    <definedName name="End_Bal" localSheetId="33">#REF!</definedName>
    <definedName name="End_Bal" localSheetId="43">#REF!</definedName>
    <definedName name="End_Bal" localSheetId="1">#REF!</definedName>
    <definedName name="End_Bal">#REF!</definedName>
    <definedName name="exter1" localSheetId="10">#REF!</definedName>
    <definedName name="exter1" localSheetId="11">#REF!</definedName>
    <definedName name="exter1" localSheetId="23">#REF!</definedName>
    <definedName name="exter1" localSheetId="24">#REF!</definedName>
    <definedName name="exter1" localSheetId="22">#REF!</definedName>
    <definedName name="exter1" localSheetId="25">#REF!</definedName>
    <definedName name="exter1" localSheetId="29">#REF!</definedName>
    <definedName name="exter1" localSheetId="27">#REF!</definedName>
    <definedName name="exter1" localSheetId="28">#REF!</definedName>
    <definedName name="exter1" localSheetId="12">#REF!</definedName>
    <definedName name="exter1" localSheetId="14">#REF!</definedName>
    <definedName name="exter1" localSheetId="19">#REF!</definedName>
    <definedName name="exter1" localSheetId="30">#REF!</definedName>
    <definedName name="exter1" localSheetId="31">#REF!</definedName>
    <definedName name="exter1" localSheetId="32">#REF!</definedName>
    <definedName name="exter1" localSheetId="36">#REF!</definedName>
    <definedName name="exter1" localSheetId="35">#REF!</definedName>
    <definedName name="exter1" localSheetId="34">#REF!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2">#REF!</definedName>
    <definedName name="exter1" localSheetId="48">#REF!</definedName>
    <definedName name="exter1" localSheetId="49">#REF!</definedName>
    <definedName name="exter1" localSheetId="44">#REF!</definedName>
    <definedName name="exter1" localSheetId="45">#REF!</definedName>
    <definedName name="exter1" localSheetId="46">#REF!</definedName>
    <definedName name="exter1" localSheetId="47">#REF!</definedName>
    <definedName name="exter1" localSheetId="33">#REF!</definedName>
    <definedName name="exter1" localSheetId="43">#REF!</definedName>
    <definedName name="exter1" localSheetId="1">#REF!</definedName>
    <definedName name="exter1">#REF!</definedName>
    <definedName name="Extra_Pay" localSheetId="10">#REF!</definedName>
    <definedName name="Extra_Pay" localSheetId="11">#REF!</definedName>
    <definedName name="Extra_Pay" localSheetId="23">#REF!</definedName>
    <definedName name="Extra_Pay" localSheetId="24">#REF!</definedName>
    <definedName name="Extra_Pay" localSheetId="22">#REF!</definedName>
    <definedName name="Extra_Pay" localSheetId="25">#REF!</definedName>
    <definedName name="Extra_Pay" localSheetId="29">#REF!</definedName>
    <definedName name="Extra_Pay" localSheetId="27">#REF!</definedName>
    <definedName name="Extra_Pay" localSheetId="28">#REF!</definedName>
    <definedName name="Extra_Pay" localSheetId="12">#REF!</definedName>
    <definedName name="Extra_Pay" localSheetId="14">#REF!</definedName>
    <definedName name="Extra_Pay" localSheetId="19">#REF!</definedName>
    <definedName name="Extra_Pay" localSheetId="30">#REF!</definedName>
    <definedName name="Extra_Pay" localSheetId="31">#REF!</definedName>
    <definedName name="Extra_Pay" localSheetId="32">#REF!</definedName>
    <definedName name="Extra_Pay" localSheetId="36">#REF!</definedName>
    <definedName name="Extra_Pay" localSheetId="35">#REF!</definedName>
    <definedName name="Extra_Pay" localSheetId="34">#REF!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2">#REF!</definedName>
    <definedName name="Extra_Pay" localSheetId="48">#REF!</definedName>
    <definedName name="Extra_Pay" localSheetId="49">#REF!</definedName>
    <definedName name="Extra_Pay" localSheetId="44">#REF!</definedName>
    <definedName name="Extra_Pay" localSheetId="45">#REF!</definedName>
    <definedName name="Extra_Pay" localSheetId="46">#REF!</definedName>
    <definedName name="Extra_Pay" localSheetId="47">#REF!</definedName>
    <definedName name="Extra_Pay" localSheetId="33">#REF!</definedName>
    <definedName name="Extra_Pay" localSheetId="43">#REF!</definedName>
    <definedName name="Extra_Pay" localSheetId="1">#REF!</definedName>
    <definedName name="Extra_Pay">#REF!</definedName>
    <definedName name="f" localSheetId="10">#REF!</definedName>
    <definedName name="f" localSheetId="11">#REF!</definedName>
    <definedName name="f" localSheetId="23">#REF!</definedName>
    <definedName name="f" localSheetId="24">#REF!</definedName>
    <definedName name="f" localSheetId="22">#REF!</definedName>
    <definedName name="f" localSheetId="25">#REF!</definedName>
    <definedName name="f" localSheetId="29">#REF!</definedName>
    <definedName name="f" localSheetId="27">#REF!</definedName>
    <definedName name="f" localSheetId="28">#REF!</definedName>
    <definedName name="f" localSheetId="12">#REF!</definedName>
    <definedName name="f" localSheetId="14">#REF!</definedName>
    <definedName name="f" localSheetId="19">#REF!</definedName>
    <definedName name="f" localSheetId="30">#REF!</definedName>
    <definedName name="f" localSheetId="31">#REF!</definedName>
    <definedName name="f" localSheetId="32">#REF!</definedName>
    <definedName name="f" localSheetId="36">#REF!</definedName>
    <definedName name="f" localSheetId="35">#REF!</definedName>
    <definedName name="f" localSheetId="34">#REF!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8">#REF!</definedName>
    <definedName name="f" localSheetId="49">#REF!</definedName>
    <definedName name="f" localSheetId="44">#REF!</definedName>
    <definedName name="f" localSheetId="45">#REF!</definedName>
    <definedName name="f" localSheetId="46">#REF!</definedName>
    <definedName name="f" localSheetId="47">#REF!</definedName>
    <definedName name="f" localSheetId="33">#REF!</definedName>
    <definedName name="f" localSheetId="43">#REF!</definedName>
    <definedName name="f" localSheetId="1">#REF!</definedName>
    <definedName name="f">#REF!</definedName>
    <definedName name="Full_Print" localSheetId="10">#REF!</definedName>
    <definedName name="Full_Print" localSheetId="11">#REF!</definedName>
    <definedName name="Full_Print" localSheetId="23">#REF!</definedName>
    <definedName name="Full_Print" localSheetId="24">#REF!</definedName>
    <definedName name="Full_Print" localSheetId="22">#REF!</definedName>
    <definedName name="Full_Print" localSheetId="25">#REF!</definedName>
    <definedName name="Full_Print" localSheetId="29">#REF!</definedName>
    <definedName name="Full_Print" localSheetId="27">#REF!</definedName>
    <definedName name="Full_Print" localSheetId="28">#REF!</definedName>
    <definedName name="Full_Print" localSheetId="12">#REF!</definedName>
    <definedName name="Full_Print" localSheetId="14">#REF!</definedName>
    <definedName name="Full_Print" localSheetId="19">#REF!</definedName>
    <definedName name="Full_Print" localSheetId="30">#REF!</definedName>
    <definedName name="Full_Print" localSheetId="31">#REF!</definedName>
    <definedName name="Full_Print" localSheetId="32">#REF!</definedName>
    <definedName name="Full_Print" localSheetId="36">#REF!</definedName>
    <definedName name="Full_Print" localSheetId="35">#REF!</definedName>
    <definedName name="Full_Print" localSheetId="34">#REF!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2">#REF!</definedName>
    <definedName name="Full_Print" localSheetId="48">#REF!</definedName>
    <definedName name="Full_Print" localSheetId="49">#REF!</definedName>
    <definedName name="Full_Print" localSheetId="44">#REF!</definedName>
    <definedName name="Full_Print" localSheetId="45">#REF!</definedName>
    <definedName name="Full_Print" localSheetId="46">#REF!</definedName>
    <definedName name="Full_Print" localSheetId="47">#REF!</definedName>
    <definedName name="Full_Print" localSheetId="33">#REF!</definedName>
    <definedName name="Full_Print" localSheetId="43">#REF!</definedName>
    <definedName name="Full_Print" localSheetId="1">#REF!</definedName>
    <definedName name="Full_Print">#REF!</definedName>
    <definedName name="H" localSheetId="24">'[8]Rekapitulace roz.  vč. kapitol'!#REF!</definedName>
    <definedName name="H" localSheetId="25">'[8]Rekapitulace roz.  vč. kapitol'!#REF!</definedName>
    <definedName name="H" localSheetId="29">'[8]Rekapitulace roz.  vč. kapitol'!#REF!</definedName>
    <definedName name="H" localSheetId="27">'[8]Rekapitulace roz.  vč. kapitol'!#REF!</definedName>
    <definedName name="H" localSheetId="28">'[8]Rekapitulace roz.  vč. kapitol'!#REF!</definedName>
    <definedName name="H" localSheetId="19">'[8]Rekapitulace roz.  vč. kapitol'!#REF!</definedName>
    <definedName name="H" localSheetId="36">'[8]Rekapitulace roz.  vč. kapitol'!#REF!</definedName>
    <definedName name="H" localSheetId="37">'[8]Rekapitulace roz.  vč. kapitol'!#REF!</definedName>
    <definedName name="H" localSheetId="38">'[8]Rekapitulace roz.  vč. kapitol'!#REF!</definedName>
    <definedName name="H">'[8]Rekapitulace roz.  vč. kapitol'!#REF!</definedName>
    <definedName name="ha" localSheetId="10">'[9]F.1.4.5. ZZTI'!#REF!</definedName>
    <definedName name="ha" localSheetId="11">'[9]F.1.4.5. ZZTI'!#REF!</definedName>
    <definedName name="ha" localSheetId="23">'[9]F.1.4.5. ZZTI'!#REF!</definedName>
    <definedName name="ha" localSheetId="24">'[9]F.1.4.5. ZZTI'!#REF!</definedName>
    <definedName name="ha" localSheetId="22">'[9]F.1.4.5. ZZTI'!#REF!</definedName>
    <definedName name="ha" localSheetId="25">'[10]F.1.4.5. ZZTI'!#REF!</definedName>
    <definedName name="ha" localSheetId="29">'[10]F.1.4.5. ZZTI'!#REF!</definedName>
    <definedName name="ha" localSheetId="27">'[10]F.1.4.5. ZZTI'!#REF!</definedName>
    <definedName name="ha" localSheetId="28">'[10]F.1.4.5. ZZTI'!#REF!</definedName>
    <definedName name="ha" localSheetId="12">'[9]F.1.4.5. ZZTI'!#REF!</definedName>
    <definedName name="ha" localSheetId="13">'[10]F.1.4.5. ZZTI'!#REF!</definedName>
    <definedName name="ha" localSheetId="14">'[9]F.1.4.5. ZZTI'!#REF!</definedName>
    <definedName name="ha" localSheetId="19">'[10]F.1.4.5. ZZTI'!#REF!</definedName>
    <definedName name="ha" localSheetId="30">'[9]F.1.4.5. ZZTI'!#REF!</definedName>
    <definedName name="ha" localSheetId="31">'[9]F.1.4.5. ZZTI'!#REF!</definedName>
    <definedName name="ha" localSheetId="32">'[9]F.1.4.5. ZZTI'!#REF!</definedName>
    <definedName name="ha" localSheetId="36">'[9]F.1.4.5. ZZTI'!#REF!</definedName>
    <definedName name="ha" localSheetId="35">'[9]F.1.4.5. ZZTI'!#REF!</definedName>
    <definedName name="ha" localSheetId="34">'[9]F.1.4.5.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2">'[9]F.1.4.5. ZZTI'!#REF!</definedName>
    <definedName name="ha" localSheetId="48">'[9]F.1.4.5. ZZTI'!#REF!</definedName>
    <definedName name="ha" localSheetId="49">'[9]F.1.4.5.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18">'[9]F.1.4.5. ZZTI'!#REF!</definedName>
    <definedName name="ha" localSheetId="33">'[9]F.1.4.5. ZZTI'!#REF!</definedName>
    <definedName name="ha" localSheetId="43">'[9]F.1.4.5. ZZTI'!#REF!</definedName>
    <definedName name="ha" localSheetId="26">'[9]F.1.4.5. ZZTI'!#REF!</definedName>
    <definedName name="ha" localSheetId="21">'[9]F.1.4.5.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23">ROW(#REF!)</definedName>
    <definedName name="Header_Row" localSheetId="24">ROW(#REF!)</definedName>
    <definedName name="Header_Row" localSheetId="22">ROW(#REF!)</definedName>
    <definedName name="Header_Row" localSheetId="25">ROW(#REF!)</definedName>
    <definedName name="Header_Row" localSheetId="29">ROW(#REF!)</definedName>
    <definedName name="Header_Row" localSheetId="27">ROW(#REF!)</definedName>
    <definedName name="Header_Row" localSheetId="28">ROW(#REF!)</definedName>
    <definedName name="Header_Row" localSheetId="12">ROW(#REF!)</definedName>
    <definedName name="Header_Row" localSheetId="14">ROW(#REF!)</definedName>
    <definedName name="Header_Row" localSheetId="30">ROW(#REF!)</definedName>
    <definedName name="Header_Row" localSheetId="31">ROW(#REF!)</definedName>
    <definedName name="Header_Row" localSheetId="32">ROW(#REF!)</definedName>
    <definedName name="Header_Row" localSheetId="36">ROW(#REF!)</definedName>
    <definedName name="Header_Row" localSheetId="35">ROW(#REF!)</definedName>
    <definedName name="Header_Row" localSheetId="34">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2">ROW(#REF!)</definedName>
    <definedName name="Header_Row" localSheetId="48">ROW(#REF!)</definedName>
    <definedName name="Header_Row" localSheetId="49">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33">ROW(#REF!)</definedName>
    <definedName name="Header_Row" localSheetId="43">ROW(#REF!)</definedName>
    <definedName name="Header_Row" localSheetId="1">ROW(#REF!)</definedName>
    <definedName name="Header_Row">ROW(#REF!)</definedName>
    <definedName name="hovno" localSheetId="10">#REF!</definedName>
    <definedName name="hovno" localSheetId="11">#REF!</definedName>
    <definedName name="hovno" localSheetId="23">#REF!</definedName>
    <definedName name="hovno" localSheetId="24">#REF!</definedName>
    <definedName name="hovno" localSheetId="22">#REF!</definedName>
    <definedName name="hovno" localSheetId="25">#REF!</definedName>
    <definedName name="hovno" localSheetId="29">#REF!</definedName>
    <definedName name="hovno" localSheetId="27">#REF!</definedName>
    <definedName name="hovno" localSheetId="28">#REF!</definedName>
    <definedName name="hovno" localSheetId="12">#REF!</definedName>
    <definedName name="hovno" localSheetId="14">#REF!</definedName>
    <definedName name="hovno" localSheetId="19">#REF!</definedName>
    <definedName name="hovno" localSheetId="30">#REF!</definedName>
    <definedName name="hovno" localSheetId="31">#REF!</definedName>
    <definedName name="hovno" localSheetId="32">#REF!</definedName>
    <definedName name="hovno" localSheetId="36">#REF!</definedName>
    <definedName name="hovno" localSheetId="35">#REF!</definedName>
    <definedName name="hovno" localSheetId="34">#REF!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2">#REF!</definedName>
    <definedName name="hovno" localSheetId="48">#REF!</definedName>
    <definedName name="hovno" localSheetId="49">#REF!</definedName>
    <definedName name="hovno" localSheetId="44">#REF!</definedName>
    <definedName name="hovno" localSheetId="45">#REF!</definedName>
    <definedName name="hovno" localSheetId="46">#REF!</definedName>
    <definedName name="hovno" localSheetId="47">#REF!</definedName>
    <definedName name="hovno" localSheetId="33">#REF!</definedName>
    <definedName name="hovno" localSheetId="43">#REF!</definedName>
    <definedName name="hovno" localSheetId="1">#REF!</definedName>
    <definedName name="hovno">#REF!</definedName>
    <definedName name="hs" localSheetId="10">#REF!</definedName>
    <definedName name="hs" localSheetId="11">#REF!</definedName>
    <definedName name="hs" localSheetId="23">#REF!</definedName>
    <definedName name="hs" localSheetId="24">#REF!</definedName>
    <definedName name="hs" localSheetId="22">#REF!</definedName>
    <definedName name="hs" localSheetId="25">#REF!</definedName>
    <definedName name="hs" localSheetId="29">#REF!</definedName>
    <definedName name="hs" localSheetId="27">#REF!</definedName>
    <definedName name="hs" localSheetId="28">#REF!</definedName>
    <definedName name="hs" localSheetId="12">#REF!</definedName>
    <definedName name="hs" localSheetId="14">#REF!</definedName>
    <definedName name="hs" localSheetId="19">#REF!</definedName>
    <definedName name="hs" localSheetId="30">#REF!</definedName>
    <definedName name="hs" localSheetId="31">#REF!</definedName>
    <definedName name="hs" localSheetId="32">#REF!</definedName>
    <definedName name="hs" localSheetId="36">#REF!</definedName>
    <definedName name="hs" localSheetId="35">#REF!</definedName>
    <definedName name="hs" localSheetId="34">#REF!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2">#REF!</definedName>
    <definedName name="hs" localSheetId="48">#REF!</definedName>
    <definedName name="hs" localSheetId="49">#REF!</definedName>
    <definedName name="hs" localSheetId="44">#REF!</definedName>
    <definedName name="hs" localSheetId="45">#REF!</definedName>
    <definedName name="hs" localSheetId="46">#REF!</definedName>
    <definedName name="hs" localSheetId="47">#REF!</definedName>
    <definedName name="hs" localSheetId="33">#REF!</definedName>
    <definedName name="hs" localSheetId="43">#REF!</definedName>
    <definedName name="hs" localSheetId="1">#REF!</definedName>
    <definedName name="hs">#REF!</definedName>
    <definedName name="HSV" localSheetId="10">#REF!</definedName>
    <definedName name="HSV" localSheetId="11">#REF!</definedName>
    <definedName name="HSV" localSheetId="23">#REF!</definedName>
    <definedName name="HSV" localSheetId="24">#REF!</definedName>
    <definedName name="HSV" localSheetId="22">#REF!</definedName>
    <definedName name="HSV" localSheetId="25">#REF!</definedName>
    <definedName name="HSV" localSheetId="29">#REF!</definedName>
    <definedName name="HSV" localSheetId="27">#REF!</definedName>
    <definedName name="HSV" localSheetId="28">#REF!</definedName>
    <definedName name="HSV" localSheetId="12">#REF!</definedName>
    <definedName name="HSV" localSheetId="14">#REF!</definedName>
    <definedName name="HSV" localSheetId="19">#REF!</definedName>
    <definedName name="HSV" localSheetId="30">#REF!</definedName>
    <definedName name="HSV" localSheetId="31">#REF!</definedName>
    <definedName name="HSV" localSheetId="32">#REF!</definedName>
    <definedName name="HSV" localSheetId="36">#REF!</definedName>
    <definedName name="HSV" localSheetId="35">#REF!</definedName>
    <definedName name="HSV" localSheetId="34">#REF!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2">#REF!</definedName>
    <definedName name="HSV" localSheetId="48">#REF!</definedName>
    <definedName name="HSV" localSheetId="49">#REF!</definedName>
    <definedName name="HSV" localSheetId="44">#REF!</definedName>
    <definedName name="HSV" localSheetId="45">#REF!</definedName>
    <definedName name="HSV" localSheetId="46">#REF!</definedName>
    <definedName name="HSV" localSheetId="47">#REF!</definedName>
    <definedName name="HSV" localSheetId="0">#REF!</definedName>
    <definedName name="HSV" localSheetId="33">#REF!</definedName>
    <definedName name="HSV" localSheetId="43">#REF!</definedName>
    <definedName name="HSV" localSheetId="1">#REF!</definedName>
    <definedName name="HSV">#REF!</definedName>
    <definedName name="HSV0" localSheetId="10">#REF!</definedName>
    <definedName name="HSV0" localSheetId="11">#REF!</definedName>
    <definedName name="HSV0" localSheetId="23">#REF!</definedName>
    <definedName name="HSV0" localSheetId="24">#REF!</definedName>
    <definedName name="HSV0" localSheetId="22">#REF!</definedName>
    <definedName name="HSV0" localSheetId="25">#REF!</definedName>
    <definedName name="HSV0" localSheetId="29">#REF!</definedName>
    <definedName name="HSV0" localSheetId="27">#REF!</definedName>
    <definedName name="HSV0" localSheetId="28">#REF!</definedName>
    <definedName name="HSV0" localSheetId="12">#REF!</definedName>
    <definedName name="HSV0" localSheetId="14">#REF!</definedName>
    <definedName name="HSV0" localSheetId="19">#REF!</definedName>
    <definedName name="HSV0" localSheetId="30">#REF!</definedName>
    <definedName name="HSV0" localSheetId="31">#REF!</definedName>
    <definedName name="HSV0" localSheetId="32">#REF!</definedName>
    <definedName name="HSV0" localSheetId="36">#REF!</definedName>
    <definedName name="HSV0" localSheetId="35">#REF!</definedName>
    <definedName name="HSV0" localSheetId="34">#REF!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2">#REF!</definedName>
    <definedName name="HSV0" localSheetId="48">#REF!</definedName>
    <definedName name="HSV0" localSheetId="49">#REF!</definedName>
    <definedName name="HSV0" localSheetId="44">#REF!</definedName>
    <definedName name="HSV0" localSheetId="45">#REF!</definedName>
    <definedName name="HSV0" localSheetId="46">#REF!</definedName>
    <definedName name="HSV0" localSheetId="47">#REF!</definedName>
    <definedName name="HSV0" localSheetId="0">'[11]002-A.1. Archstav  reseni'!#REF!</definedName>
    <definedName name="HSV0" localSheetId="33">#REF!</definedName>
    <definedName name="HSV0" localSheetId="43">#REF!</definedName>
    <definedName name="HSV0" localSheetId="1">#REF!</definedName>
    <definedName name="HSV0">#REF!</definedName>
    <definedName name="HZS" localSheetId="10">#REF!</definedName>
    <definedName name="HZS" localSheetId="11">#REF!</definedName>
    <definedName name="HZS" localSheetId="23">#REF!</definedName>
    <definedName name="HZS" localSheetId="24">#REF!</definedName>
    <definedName name="HZS" localSheetId="22">#REF!</definedName>
    <definedName name="HZS" localSheetId="25">#REF!</definedName>
    <definedName name="HZS" localSheetId="29">#REF!</definedName>
    <definedName name="HZS" localSheetId="27">#REF!</definedName>
    <definedName name="HZS" localSheetId="28">#REF!</definedName>
    <definedName name="HZS" localSheetId="12">#REF!</definedName>
    <definedName name="HZS" localSheetId="14">#REF!</definedName>
    <definedName name="HZS" localSheetId="19">#REF!</definedName>
    <definedName name="HZS" localSheetId="30">#REF!</definedName>
    <definedName name="HZS" localSheetId="31">#REF!</definedName>
    <definedName name="HZS" localSheetId="32">#REF!</definedName>
    <definedName name="HZS" localSheetId="36">#REF!</definedName>
    <definedName name="HZS" localSheetId="35">#REF!</definedName>
    <definedName name="HZS" localSheetId="34">#REF!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2">#REF!</definedName>
    <definedName name="HZS" localSheetId="48">#REF!</definedName>
    <definedName name="HZS" localSheetId="49">#REF!</definedName>
    <definedName name="HZS" localSheetId="44">#REF!</definedName>
    <definedName name="HZS" localSheetId="45">#REF!</definedName>
    <definedName name="HZS" localSheetId="46">#REF!</definedName>
    <definedName name="HZS" localSheetId="47">#REF!</definedName>
    <definedName name="HZS" localSheetId="0">#REF!</definedName>
    <definedName name="HZS" localSheetId="33">#REF!</definedName>
    <definedName name="HZS" localSheetId="43">#REF!</definedName>
    <definedName name="HZS" localSheetId="1">#REF!</definedName>
    <definedName name="HZS">#REF!</definedName>
    <definedName name="HZS0" localSheetId="10">#REF!</definedName>
    <definedName name="HZS0" localSheetId="11">#REF!</definedName>
    <definedName name="HZS0" localSheetId="23">#REF!</definedName>
    <definedName name="HZS0" localSheetId="24">#REF!</definedName>
    <definedName name="HZS0" localSheetId="22">#REF!</definedName>
    <definedName name="HZS0" localSheetId="25">#REF!</definedName>
    <definedName name="HZS0" localSheetId="29">#REF!</definedName>
    <definedName name="HZS0" localSheetId="27">#REF!</definedName>
    <definedName name="HZS0" localSheetId="28">#REF!</definedName>
    <definedName name="HZS0" localSheetId="12">#REF!</definedName>
    <definedName name="HZS0" localSheetId="14">#REF!</definedName>
    <definedName name="HZS0" localSheetId="19">#REF!</definedName>
    <definedName name="HZS0" localSheetId="30">#REF!</definedName>
    <definedName name="HZS0" localSheetId="31">#REF!</definedName>
    <definedName name="HZS0" localSheetId="32">#REF!</definedName>
    <definedName name="HZS0" localSheetId="36">#REF!</definedName>
    <definedName name="HZS0" localSheetId="35">#REF!</definedName>
    <definedName name="HZS0" localSheetId="34">#REF!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2">#REF!</definedName>
    <definedName name="HZS0" localSheetId="48">#REF!</definedName>
    <definedName name="HZS0" localSheetId="49">#REF!</definedName>
    <definedName name="HZS0" localSheetId="44">#REF!</definedName>
    <definedName name="HZS0" localSheetId="45">#REF!</definedName>
    <definedName name="HZS0" localSheetId="46">#REF!</definedName>
    <definedName name="HZS0" localSheetId="47">#REF!</definedName>
    <definedName name="HZS0" localSheetId="0">'[11]002-A.1. Archstav  reseni'!#REF!</definedName>
    <definedName name="HZS0" localSheetId="33">#REF!</definedName>
    <definedName name="HZS0" localSheetId="43">#REF!</definedName>
    <definedName name="HZS0" localSheetId="1">#REF!</definedName>
    <definedName name="HZS0">#REF!</definedName>
    <definedName name="IČO" localSheetId="0">KL!$J$7</definedName>
    <definedName name="Int" localSheetId="10">#REF!</definedName>
    <definedName name="Int" localSheetId="11">#REF!</definedName>
    <definedName name="Int" localSheetId="23">#REF!</definedName>
    <definedName name="Int" localSheetId="24">#REF!</definedName>
    <definedName name="Int" localSheetId="22">#REF!</definedName>
    <definedName name="Int" localSheetId="25">#REF!</definedName>
    <definedName name="Int" localSheetId="29">#REF!</definedName>
    <definedName name="Int" localSheetId="27">#REF!</definedName>
    <definedName name="Int" localSheetId="28">#REF!</definedName>
    <definedName name="Int" localSheetId="12">#REF!</definedName>
    <definedName name="Int" localSheetId="14">#REF!</definedName>
    <definedName name="Int" localSheetId="19">#REF!</definedName>
    <definedName name="Int" localSheetId="30">#REF!</definedName>
    <definedName name="Int" localSheetId="31">#REF!</definedName>
    <definedName name="Int" localSheetId="32">#REF!</definedName>
    <definedName name="Int" localSheetId="36">#REF!</definedName>
    <definedName name="Int" localSheetId="35">#REF!</definedName>
    <definedName name="Int" localSheetId="34">#REF!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2">#REF!</definedName>
    <definedName name="Int" localSheetId="48">#REF!</definedName>
    <definedName name="Int" localSheetId="49">#REF!</definedName>
    <definedName name="Int" localSheetId="44">#REF!</definedName>
    <definedName name="Int" localSheetId="45">#REF!</definedName>
    <definedName name="Int" localSheetId="46">#REF!</definedName>
    <definedName name="Int" localSheetId="47">#REF!</definedName>
    <definedName name="Int" localSheetId="33">#REF!</definedName>
    <definedName name="Int" localSheetId="43">#REF!</definedName>
    <definedName name="Int" localSheetId="1">#REF!</definedName>
    <definedName name="Int">#REF!</definedName>
    <definedName name="inter1" localSheetId="10">#REF!</definedName>
    <definedName name="inter1" localSheetId="11">#REF!</definedName>
    <definedName name="inter1" localSheetId="23">#REF!</definedName>
    <definedName name="inter1" localSheetId="24">#REF!</definedName>
    <definedName name="inter1" localSheetId="22">#REF!</definedName>
    <definedName name="inter1" localSheetId="25">#REF!</definedName>
    <definedName name="inter1" localSheetId="29">#REF!</definedName>
    <definedName name="inter1" localSheetId="27">#REF!</definedName>
    <definedName name="inter1" localSheetId="28">#REF!</definedName>
    <definedName name="inter1" localSheetId="12">#REF!</definedName>
    <definedName name="inter1" localSheetId="14">#REF!</definedName>
    <definedName name="inter1" localSheetId="19">#REF!</definedName>
    <definedName name="inter1" localSheetId="30">#REF!</definedName>
    <definedName name="inter1" localSheetId="31">#REF!</definedName>
    <definedName name="inter1" localSheetId="32">#REF!</definedName>
    <definedName name="inter1" localSheetId="36">#REF!</definedName>
    <definedName name="inter1" localSheetId="35">#REF!</definedName>
    <definedName name="inter1" localSheetId="34">#REF!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2">#REF!</definedName>
    <definedName name="inter1" localSheetId="48">#REF!</definedName>
    <definedName name="inter1" localSheetId="49">#REF!</definedName>
    <definedName name="inter1" localSheetId="44">#REF!</definedName>
    <definedName name="inter1" localSheetId="45">#REF!</definedName>
    <definedName name="inter1" localSheetId="46">#REF!</definedName>
    <definedName name="inter1" localSheetId="47">#REF!</definedName>
    <definedName name="inter1" localSheetId="33">#REF!</definedName>
    <definedName name="inter1" localSheetId="43">#REF!</definedName>
    <definedName name="inter1" localSheetId="1">#REF!</definedName>
    <definedName name="inter1">#REF!</definedName>
    <definedName name="Interest_Rate" localSheetId="10">#REF!</definedName>
    <definedName name="Interest_Rate" localSheetId="11">#REF!</definedName>
    <definedName name="Interest_Rate" localSheetId="23">#REF!</definedName>
    <definedName name="Interest_Rate" localSheetId="24">#REF!</definedName>
    <definedName name="Interest_Rate" localSheetId="22">#REF!</definedName>
    <definedName name="Interest_Rate" localSheetId="25">#REF!</definedName>
    <definedName name="Interest_Rate" localSheetId="29">#REF!</definedName>
    <definedName name="Interest_Rate" localSheetId="27">#REF!</definedName>
    <definedName name="Interest_Rate" localSheetId="28">#REF!</definedName>
    <definedName name="Interest_Rate" localSheetId="12">#REF!</definedName>
    <definedName name="Interest_Rate" localSheetId="14">#REF!</definedName>
    <definedName name="Interest_Rate" localSheetId="19">#REF!</definedName>
    <definedName name="Interest_Rate" localSheetId="30">#REF!</definedName>
    <definedName name="Interest_Rate" localSheetId="31">#REF!</definedName>
    <definedName name="Interest_Rate" localSheetId="32">#REF!</definedName>
    <definedName name="Interest_Rate" localSheetId="36">#REF!</definedName>
    <definedName name="Interest_Rate" localSheetId="35">#REF!</definedName>
    <definedName name="Interest_Rate" localSheetId="34">#REF!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2">#REF!</definedName>
    <definedName name="Interest_Rate" localSheetId="48">#REF!</definedName>
    <definedName name="Interest_Rate" localSheetId="49">#REF!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33">#REF!</definedName>
    <definedName name="Interest_Rate" localSheetId="43">#REF!</definedName>
    <definedName name="Interest_Rate" localSheetId="1">#REF!</definedName>
    <definedName name="Interest_Rate">#REF!</definedName>
    <definedName name="JKSO" localSheetId="10">#REF!</definedName>
    <definedName name="JKSO" localSheetId="11">#REF!</definedName>
    <definedName name="JKSO" localSheetId="23">#REF!</definedName>
    <definedName name="JKSO" localSheetId="24">#REF!</definedName>
    <definedName name="JKSO" localSheetId="22">#REF!</definedName>
    <definedName name="JKSO" localSheetId="25">#REF!</definedName>
    <definedName name="JKSO" localSheetId="29">#REF!</definedName>
    <definedName name="JKSO" localSheetId="27">#REF!</definedName>
    <definedName name="JKSO" localSheetId="28">#REF!</definedName>
    <definedName name="JKSO" localSheetId="12">#REF!</definedName>
    <definedName name="JKSO" localSheetId="14">#REF!</definedName>
    <definedName name="JKSO" localSheetId="19">#REF!</definedName>
    <definedName name="JKSO" localSheetId="30">#REF!</definedName>
    <definedName name="JKSO" localSheetId="31">#REF!</definedName>
    <definedName name="JKSO" localSheetId="32">#REF!</definedName>
    <definedName name="JKSO" localSheetId="36">#REF!</definedName>
    <definedName name="JKSO" localSheetId="35">#REF!</definedName>
    <definedName name="JKSO" localSheetId="34">#REF!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2">#REF!</definedName>
    <definedName name="JKSO" localSheetId="48">#REF!</definedName>
    <definedName name="JKSO" localSheetId="49">#REF!</definedName>
    <definedName name="JKSO" localSheetId="44">#REF!</definedName>
    <definedName name="JKSO" localSheetId="45">#REF!</definedName>
    <definedName name="JKSO" localSheetId="46">#REF!</definedName>
    <definedName name="JKSO" localSheetId="47">#REF!</definedName>
    <definedName name="JKSO" localSheetId="0">#REF!</definedName>
    <definedName name="JKSO" localSheetId="33">#REF!</definedName>
    <definedName name="JKSO" localSheetId="43">#REF!</definedName>
    <definedName name="JKSO" localSheetId="1">#REF!</definedName>
    <definedName name="JKSO">#REF!</definedName>
    <definedName name="jzzuggt" localSheetId="10">#REF!</definedName>
    <definedName name="jzzuggt" localSheetId="11">#REF!</definedName>
    <definedName name="jzzuggt" localSheetId="23">#REF!</definedName>
    <definedName name="jzzuggt" localSheetId="24">#REF!</definedName>
    <definedName name="jzzuggt" localSheetId="22">#REF!</definedName>
    <definedName name="jzzuggt" localSheetId="25">#REF!</definedName>
    <definedName name="jzzuggt" localSheetId="29">#REF!</definedName>
    <definedName name="jzzuggt" localSheetId="27">#REF!</definedName>
    <definedName name="jzzuggt" localSheetId="28">#REF!</definedName>
    <definedName name="jzzuggt" localSheetId="12">#REF!</definedName>
    <definedName name="jzzuggt" localSheetId="14">#REF!</definedName>
    <definedName name="jzzuggt" localSheetId="19">#REF!</definedName>
    <definedName name="jzzuggt" localSheetId="30">#REF!</definedName>
    <definedName name="jzzuggt" localSheetId="31">#REF!</definedName>
    <definedName name="jzzuggt" localSheetId="32">#REF!</definedName>
    <definedName name="jzzuggt" localSheetId="36">#REF!</definedName>
    <definedName name="jzzuggt" localSheetId="35">#REF!</definedName>
    <definedName name="jzzuggt" localSheetId="34">#REF!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2">#REF!</definedName>
    <definedName name="jzzuggt" localSheetId="48">#REF!</definedName>
    <definedName name="jzzuggt" localSheetId="49">#REF!</definedName>
    <definedName name="jzzuggt" localSheetId="44">#REF!</definedName>
    <definedName name="jzzuggt" localSheetId="45">#REF!</definedName>
    <definedName name="jzzuggt" localSheetId="46">#REF!</definedName>
    <definedName name="jzzuggt" localSheetId="47">#REF!</definedName>
    <definedName name="jzzuggt" localSheetId="33">#REF!</definedName>
    <definedName name="jzzuggt" localSheetId="43">#REF!</definedName>
    <definedName name="jzzuggt" localSheetId="1">#REF!</definedName>
    <definedName name="jzzuggt">#REF!</definedName>
    <definedName name="Last_Row" localSheetId="10">IF('D.1.1.c.01. VÝPIS DVEŘÍ'!Values_Entered,'D.1.1.c.01. VÝPIS DVEŘÍ'!Header_Row+'D.1.1.c.01. VÝPIS DVEŘÍ'!Number_of_Payments,'D.1.1.c.01. VÝPIS DVEŘÍ'!Header_Row)</definedName>
    <definedName name="Last_Row" localSheetId="11">IF('D.1.4.1. ZTI'!Values_Entered,'D.1.4.1. ZTI'!Header_Row+'D.1.4.1. ZTI'!Number_of_Payments,'D.1.4.1. ZTI'!Header_Row)</definedName>
    <definedName name="Last_Row" localSheetId="23">IF('D.1.4.10.1. MOBILIÁŘ'!Values_Entered,'D.1.4.10.1. MOBILIÁŘ'!Header_Row+'D.1.4.10.1. MOBILIÁŘ'!Number_of_Payments,'D.1.4.10.1. MOBILIÁŘ'!Header_Row)</definedName>
    <definedName name="Last_Row" localSheetId="24">IF('D.1.4.10.1. OPLOCENÍ'!Values_Entered,'D.1.4.10.1. OPLOCENÍ'!Header_Row+'D.1.4.10.1. OPLOCENÍ'!Number_of_Payments,'D.1.4.10.1. OPLOCENÍ'!Header_Row)</definedName>
    <definedName name="Last_Row" localSheetId="22">IF('D.1.4.10.1. SADOVÉ ÚPRAVY'!Values_Entered,'D.1.4.10.1. SADOVÉ ÚPRAVY'!Header_Row+'D.1.4.10.1. SADOVÉ ÚPRAVY'!Number_of_Payments,'D.1.4.10.1. SADOVÉ ÚPRAVY'!Header_Row)</definedName>
    <definedName name="Last_Row" localSheetId="25">IF('D.1.4.10.2. ZP. PLOCHY A KOMUN.'!Values_Entered,'D.1.4.10.2. ZP. PLOCHY A KOMUN.'!Header_Row+'D.1.4.10.2. ZP. PLOCHY A KOMUN.'!Number_of_Payments,'D.1.4.10.2. ZP. PLOCHY A KOMUN.'!Header_Row)</definedName>
    <definedName name="Last_Row" localSheetId="29">IF('D.1.4.10.3. DROBNÁ ARCH. - KOL.'!Values_Entered,'D.1.4.10.3. DROBNÁ ARCH. - KOL.'!Header_Row+'D.1.4.10.3. DROBNÁ ARCH. - KOL.'!Number_of_Payments,'D.1.4.10.3. DROBNÁ ARCH. - KOL.'!Header_Row)</definedName>
    <definedName name="Last_Row" localSheetId="27">IF('D.1.4.10.3. DROBNÁ ARCH. - SKL.'!Values_Entered,'D.1.4.10.3. DROBNÁ ARCH. - SKL.'!Header_Row+'D.1.4.10.3. DROBNÁ ARCH. - SKL.'!Number_of_Payments,'D.1.4.10.3. DROBNÁ ARCH. - SKL.'!Header_Row)</definedName>
    <definedName name="Last_Row" localSheetId="28">IF('D.1.4.10.3. DROBNÁ ARCH. - ZÁZ.'!Values_Entered,'D.1.4.10.3. DROBNÁ ARCH. - ZÁZ.'!Header_Row+'D.1.4.10.3. DROBNÁ ARCH. - ZÁZ.'!Number_of_Payments,'D.1.4.10.3. DROBNÁ ARCH. - ZÁZ.'!Header_Row)</definedName>
    <definedName name="Last_Row" localSheetId="12">IF('D.1.4.2. ODBĚR. PLYN. ZAŘÍZ.'!Values_Entered,'D.1.4.2. ODBĚR. PLYN. ZAŘÍZ.'!Header_Row+'D.1.4.2. ODBĚR. PLYN. ZAŘÍZ.'!Number_of_Payments,'D.1.4.2. ODBĚR. PLYN. ZAŘÍZ.'!Header_Row)</definedName>
    <definedName name="Last_Row" localSheetId="13">IF('D.1.4.3. VZDUCHOTECHNIKA'!Values_Entered,Header_Row+'D.1.4.3. VZDUCHOTECHNIKA'!Number_of_Payments,Header_Row)</definedName>
    <definedName name="Last_Row" localSheetId="14">IF('D.1.4.4. VYTÁPĚNÍ'!Values_Entered,'D.1.4.4. VYTÁPĚNÍ'!Header_Row+'D.1.4.4. VYTÁPĚNÍ'!Number_of_Payments,'D.1.4.4. VYTÁPĚNÍ'!Header_Row)</definedName>
    <definedName name="Last_Row" localSheetId="19">IF('D.1.4.8. EL. KOMUNIKACE'!Values_Entered,Header_Row+'D.1.4.8. EL. KOMUNIKACE'!Number_of_Payments,Header_Row)</definedName>
    <definedName name="Last_Row" localSheetId="30">IF('D.2.1. PŘÍPOJKA VODOVODU'!Values_Entered,'D.2.1. PŘÍPOJKA VODOVODU'!Header_Row+'D.2.1. PŘÍPOJKA VODOVODU'!Number_of_Payments,'D.2.1. PŘÍPOJKA VODOVODU'!Header_Row)</definedName>
    <definedName name="Last_Row" localSheetId="31">IF('D.2.1.1. AREÁLOVÝ VODOVOD'!Values_Entered,'D.2.1.1. AREÁLOVÝ VODOVOD'!Header_Row+'D.2.1.1. AREÁLOVÝ VODOVOD'!Number_of_Payments,'D.2.1.1. AREÁLOVÝ VODOVOD'!Header_Row)</definedName>
    <definedName name="Last_Row" localSheetId="32">IF('D.2.2. PŘÍPOJKA KANALIZACE'!Values_Entered,'D.2.2. PŘÍPOJKA KANALIZACE'!Header_Row+'D.2.2. PŘÍPOJKA KANALIZACE'!Number_of_Payments,'D.2.2. PŘÍPOJKA KANALIZACE'!Header_Row)</definedName>
    <definedName name="Last_Row" localSheetId="36">IF('D.2.3. AKUMULAČNÍ NÁDRŽ'!Values_Entered,'D.2.3. AKUMULAČNÍ NÁDRŽ'!Header_Row+'D.2.3. AKUMULAČNÍ NÁDRŽ'!Number_of_Payments,'D.2.3. AKUMULAČNÍ NÁDRŽ'!Header_Row)</definedName>
    <definedName name="Last_Row" localSheetId="35">IF('D.2.3. AREÁL DEŠŤOVÁ KANAL.'!Values_Entered,'D.2.3. AREÁL DEŠŤOVÁ KANAL.'!Header_Row+'D.2.3. AREÁL DEŠŤOVÁ KANAL.'!Number_of_Payments,'D.2.3. AREÁL DEŠŤOVÁ KANAL.'!Header_Row)</definedName>
    <definedName name="Last_Row" localSheetId="34">IF('D.2.3. AREÁL SPLAŠKOVÁ KANAL.'!Values_Entered,'D.2.3. AREÁL SPLAŠKOVÁ KANAL.'!Header_Row+'D.2.3. AREÁL SPLAŠKOVÁ KANAL.'!Number_of_Payments,'D.2.3. AREÁL SPLAŠKOVÁ KANAL.'!Header_Row)</definedName>
    <definedName name="Last_Row" localSheetId="37">IF('D.2.3. ČERPACÍ STANICE'!Values_Entered,'D.2.3. ČERPACÍ STANICE'!Header_Row+'D.2.3. ČERPACÍ STANICE'!Number_of_Payments,'D.2.3. ČERPACÍ STANICE'!Header_Row)</definedName>
    <definedName name="Last_Row" localSheetId="38">IF('D.2.3. VSAKOVACÍ NÁDRŽE'!Values_Entered,'D.2.3. VSAKOVACÍ NÁDRŽE'!Header_Row+'D.2.3. VSAKOVACÍ NÁDRŽE'!Number_of_Payments,'D.2.3. VSAKOVACÍ NÁDRŽE'!Header_Row)</definedName>
    <definedName name="Last_Row" localSheetId="39">IF('D.2.4. PŘELOŽKA STL PLYNOVODU'!Values_Entered,'D.2.4. PŘELOŽKA STL PLYNOVODU'!Header_Row+'D.2.4. PŘELOŽKA STL PLYNOVODU'!Number_of_Payments,'D.2.4. PŘELOŽKA STL PLYNOVODU'!Header_Row)</definedName>
    <definedName name="Last_Row" localSheetId="40">IF('D.2.5. PŘÍPOJKA NN'!Values_Entered,'D.2.5. PŘÍPOJKA NN'!Header_Row+'D.2.5. PŘÍPOJKA NN'!Number_of_Payments,'D.2.5. PŘÍPOJKA NN'!Header_Row)</definedName>
    <definedName name="Last_Row" localSheetId="41">IF('D.2.6. PŘÍPOJKA EL. KOMUNIKACE'!Values_Entered,'D.2.6. PŘÍPOJKA EL. KOMUNIKACE'!Header_Row+'D.2.6. PŘÍPOJKA EL. KOMUNIKACE'!Number_of_Payments,'D.2.6. PŘÍPOJKA EL. KOMUNIKACE'!Header_Row)</definedName>
    <definedName name="Last_Row" localSheetId="42">IF('D.2.7. AREÁL OSVĚTLENÍ - TR. A1'!Values_Entered,'D.2.7. AREÁL OSVĚTLENÍ - TR. A1'!Header_Row+'D.2.7. AREÁL OSVĚTLENÍ - TR. A1'!Number_of_Payments,'D.2.7. AREÁL OSVĚTLENÍ - TR. A1'!Header_Row)</definedName>
    <definedName name="Last_Row" localSheetId="48">IF('D.2.8. AREÁL VEDENÍ NN-TR.  NN5'!Values_Entered,'D.2.8. AREÁL VEDENÍ NN-TR.  NN5'!Header_Row+'D.2.8. AREÁL VEDENÍ NN-TR.  NN5'!Number_of_Payments,'D.2.8. AREÁL VEDENÍ NN-TR.  NN5'!Header_Row)</definedName>
    <definedName name="Last_Row" localSheetId="49">IF('D.2.8. AREÁL VEDENÍ NN-TR.  NN6'!Values_Entered,'D.2.8. AREÁL VEDENÍ NN-TR.  NN6'!Header_Row+'D.2.8. AREÁL VEDENÍ NN-TR.  NN6'!Number_of_Payments,'D.2.8. AREÁL VEDENÍ NN-TR.  NN6'!Header_Row)</definedName>
    <definedName name="Last_Row" localSheetId="44">IF('D.2.8. AREÁL VEDENÍ NN-TR. NN1 '!Values_Entered,'D.2.8. AREÁL VEDENÍ NN-TR. NN1 '!Header_Row+'D.2.8. AREÁL VEDENÍ NN-TR. NN1 '!Number_of_Payments,'D.2.8. AREÁL VEDENÍ NN-TR. NN1 '!Header_Row)</definedName>
    <definedName name="Last_Row" localSheetId="45">IF('D.2.8. AREÁL VEDENÍ NN-TR. NN2'!Values_Entered,'D.2.8. AREÁL VEDENÍ NN-TR. NN2'!Header_Row+'D.2.8. AREÁL VEDENÍ NN-TR. NN2'!Number_of_Payments,'D.2.8. AREÁL VEDENÍ NN-TR. NN2'!Header_Row)</definedName>
    <definedName name="Last_Row" localSheetId="46">IF('D.2.8. AREÁL VEDENÍ NN-TR. NN3'!Values_Entered,'D.2.8. AREÁL VEDENÍ NN-TR. NN3'!Header_Row+'D.2.8. AREÁL VEDENÍ NN-TR. NN3'!Number_of_Payments,'D.2.8. AREÁL VEDENÍ NN-TR. NN3'!Header_Row)</definedName>
    <definedName name="Last_Row" localSheetId="47">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8">IF(REKAPITULACE!Values_Entered,Header_Row+REKAPITULACE!Number_of_Payments,Header_Row)</definedName>
    <definedName name="Last_Row" localSheetId="33">IF('REKAPITULACE - AREÁL KAN'!Values_Entered,'REKAPITULACE - AREÁL KAN'!Header_Row+'REKAPITULACE - AREÁL KAN'!Number_of_Payments,'REKAPITULACE - AREÁL KAN'!Header_Row)</definedName>
    <definedName name="Last_Row" localSheetId="43">IF('REKAPITULACE - AREÁL NN'!Values_Entered,'REKAPITULACE - AREÁL NN'!Header_Row+'REKAPITULACE - AREÁL NN'!Number_of_Payments,'REKAPITULACE - AREÁL NN'!Header_Row)</definedName>
    <definedName name="Last_Row" localSheetId="26">IF('REKAPITULACE - DA'!Values_Entered,Header_Row+'REKAPITULACE - DA'!Number_of_Payments,Header_Row)</definedName>
    <definedName name="Last_Row" localSheetId="21">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11" hidden="1">{#N/A,#N/A,TRUE,"Krycí list"}</definedName>
    <definedName name="Light" localSheetId="23" hidden="1">{#N/A,#N/A,TRUE,"Krycí list"}</definedName>
    <definedName name="Light" localSheetId="24" hidden="1">{#N/A,#N/A,TRUE,"Krycí list"}</definedName>
    <definedName name="Light" localSheetId="22" hidden="1">{#N/A,#N/A,TRUE,"Krycí list"}</definedName>
    <definedName name="Light" localSheetId="25" hidden="1">{#N/A,#N/A,TRUE,"Krycí list"}</definedName>
    <definedName name="Light" localSheetId="29" hidden="1">{#N/A,#N/A,TRUE,"Krycí list"}</definedName>
    <definedName name="Light" localSheetId="27" hidden="1">{#N/A,#N/A,TRUE,"Krycí list"}</definedName>
    <definedName name="Light" localSheetId="28"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9" hidden="1">{#N/A,#N/A,TRUE,"Krycí list"}</definedName>
    <definedName name="Light" localSheetId="30" hidden="1">{#N/A,#N/A,TRUE,"Krycí list"}</definedName>
    <definedName name="Light" localSheetId="31" hidden="1">{#N/A,#N/A,TRUE,"Krycí list"}</definedName>
    <definedName name="Light" localSheetId="32"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42" hidden="1">{#N/A,#N/A,TRUE,"Krycí list"}</definedName>
    <definedName name="Light" localSheetId="0" hidden="1">{#N/A,#N/A,TRUE,"Krycí list"}</definedName>
    <definedName name="Light" localSheetId="18" hidden="1">{#N/A,#N/A,TRUE,"Krycí list"}</definedName>
    <definedName name="Light" localSheetId="33" hidden="1">{#N/A,#N/A,TRUE,"Krycí list"}</definedName>
    <definedName name="Light" localSheetId="43" hidden="1">{#N/A,#N/A,TRUE,"Krycí list"}</definedName>
    <definedName name="Light" localSheetId="26" hidden="1">{#N/A,#N/A,TRUE,"Krycí list"}</definedName>
    <definedName name="Light" localSheetId="21"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11" hidden="1">{#N/A,#N/A,TRUE,"Krycí list"}</definedName>
    <definedName name="Lighting" localSheetId="23" hidden="1">{#N/A,#N/A,TRUE,"Krycí list"}</definedName>
    <definedName name="Lighting" localSheetId="24" hidden="1">{#N/A,#N/A,TRUE,"Krycí list"}</definedName>
    <definedName name="Lighting" localSheetId="22" hidden="1">{#N/A,#N/A,TRUE,"Krycí list"}</definedName>
    <definedName name="Lighting" localSheetId="25" hidden="1">{#N/A,#N/A,TRUE,"Krycí list"}</definedName>
    <definedName name="Lighting" localSheetId="29" hidden="1">{#N/A,#N/A,TRUE,"Krycí list"}</definedName>
    <definedName name="Lighting" localSheetId="27" hidden="1">{#N/A,#N/A,TRUE,"Krycí list"}</definedName>
    <definedName name="Lighting" localSheetId="28"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9" hidden="1">{#N/A,#N/A,TRUE,"Krycí list"}</definedName>
    <definedName name="Lighting" localSheetId="30" hidden="1">{#N/A,#N/A,TRUE,"Krycí list"}</definedName>
    <definedName name="Lighting" localSheetId="31" hidden="1">{#N/A,#N/A,TRUE,"Krycí list"}</definedName>
    <definedName name="Lighting" localSheetId="32"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42" hidden="1">{#N/A,#N/A,TRUE,"Krycí list"}</definedName>
    <definedName name="Lighting" localSheetId="0" hidden="1">{#N/A,#N/A,TRUE,"Krycí list"}</definedName>
    <definedName name="Lighting" localSheetId="18" hidden="1">{#N/A,#N/A,TRUE,"Krycí list"}</definedName>
    <definedName name="Lighting" localSheetId="33" hidden="1">{#N/A,#N/A,TRUE,"Krycí list"}</definedName>
    <definedName name="Lighting" localSheetId="43" hidden="1">{#N/A,#N/A,TRUE,"Krycí list"}</definedName>
    <definedName name="Lighting" localSheetId="26" hidden="1">{#N/A,#N/A,TRUE,"Krycí list"}</definedName>
    <definedName name="Lighting" localSheetId="21" hidden="1">{#N/A,#N/A,TRUE,"Krycí list"}</definedName>
    <definedName name="Lighting" localSheetId="1" hidden="1">{#N/A,#N/A,TRUE,"Krycí list"}</definedName>
    <definedName name="Lighting" hidden="1">{#N/A,#N/A,TRUE,"Krycí list"}</definedName>
    <definedName name="Loan_Amount" localSheetId="10">#REF!</definedName>
    <definedName name="Loan_Amount" localSheetId="11">#REF!</definedName>
    <definedName name="Loan_Amount" localSheetId="23">#REF!</definedName>
    <definedName name="Loan_Amount" localSheetId="24">#REF!</definedName>
    <definedName name="Loan_Amount" localSheetId="22">#REF!</definedName>
    <definedName name="Loan_Amount" localSheetId="25">#REF!</definedName>
    <definedName name="Loan_Amount" localSheetId="29">#REF!</definedName>
    <definedName name="Loan_Amount" localSheetId="27">#REF!</definedName>
    <definedName name="Loan_Amount" localSheetId="28">#REF!</definedName>
    <definedName name="Loan_Amount" localSheetId="12">#REF!</definedName>
    <definedName name="Loan_Amount" localSheetId="13">#REF!</definedName>
    <definedName name="Loan_Amount" localSheetId="14">#REF!</definedName>
    <definedName name="Loan_Amount" localSheetId="19">#REF!</definedName>
    <definedName name="Loan_Amount" localSheetId="30">#REF!</definedName>
    <definedName name="Loan_Amount" localSheetId="31">#REF!</definedName>
    <definedName name="Loan_Amount" localSheetId="32">#REF!</definedName>
    <definedName name="Loan_Amount" localSheetId="36">#REF!</definedName>
    <definedName name="Loan_Amount" localSheetId="35">#REF!</definedName>
    <definedName name="Loan_Amount" localSheetId="34">#REF!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2">#REF!</definedName>
    <definedName name="Loan_Amount" localSheetId="48">#REF!</definedName>
    <definedName name="Loan_Amount" localSheetId="49">#REF!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33">#REF!</definedName>
    <definedName name="Loan_Amount" localSheetId="43">#REF!</definedName>
    <definedName name="Loan_Amount" localSheetId="26">#REF!</definedName>
    <definedName name="Loan_Amount" localSheetId="1">#REF!</definedName>
    <definedName name="Loan_Amount">#REF!</definedName>
    <definedName name="Loan_Start" localSheetId="10">#REF!</definedName>
    <definedName name="Loan_Start" localSheetId="11">#REF!</definedName>
    <definedName name="Loan_Start" localSheetId="23">#REF!</definedName>
    <definedName name="Loan_Start" localSheetId="24">#REF!</definedName>
    <definedName name="Loan_Start" localSheetId="22">#REF!</definedName>
    <definedName name="Loan_Start" localSheetId="25">#REF!</definedName>
    <definedName name="Loan_Start" localSheetId="29">#REF!</definedName>
    <definedName name="Loan_Start" localSheetId="27">#REF!</definedName>
    <definedName name="Loan_Start" localSheetId="28">#REF!</definedName>
    <definedName name="Loan_Start" localSheetId="12">#REF!</definedName>
    <definedName name="Loan_Start" localSheetId="13">#REF!</definedName>
    <definedName name="Loan_Start" localSheetId="14">#REF!</definedName>
    <definedName name="Loan_Start" localSheetId="19">#REF!</definedName>
    <definedName name="Loan_Start" localSheetId="30">#REF!</definedName>
    <definedName name="Loan_Start" localSheetId="31">#REF!</definedName>
    <definedName name="Loan_Start" localSheetId="32">#REF!</definedName>
    <definedName name="Loan_Start" localSheetId="36">#REF!</definedName>
    <definedName name="Loan_Start" localSheetId="35">#REF!</definedName>
    <definedName name="Loan_Start" localSheetId="34">#REF!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2">#REF!</definedName>
    <definedName name="Loan_Start" localSheetId="48">#REF!</definedName>
    <definedName name="Loan_Start" localSheetId="49">#REF!</definedName>
    <definedName name="Loan_Start" localSheetId="44">#REF!</definedName>
    <definedName name="Loan_Start" localSheetId="45">#REF!</definedName>
    <definedName name="Loan_Start" localSheetId="46">#REF!</definedName>
    <definedName name="Loan_Start" localSheetId="47">#REF!</definedName>
    <definedName name="Loan_Start" localSheetId="33">#REF!</definedName>
    <definedName name="Loan_Start" localSheetId="43">#REF!</definedName>
    <definedName name="Loan_Start" localSheetId="1">#REF!</definedName>
    <definedName name="Loan_Start">#REF!</definedName>
    <definedName name="Loan_Years" localSheetId="10">#REF!</definedName>
    <definedName name="Loan_Years" localSheetId="11">#REF!</definedName>
    <definedName name="Loan_Years" localSheetId="23">#REF!</definedName>
    <definedName name="Loan_Years" localSheetId="24">#REF!</definedName>
    <definedName name="Loan_Years" localSheetId="22">#REF!</definedName>
    <definedName name="Loan_Years" localSheetId="25">#REF!</definedName>
    <definedName name="Loan_Years" localSheetId="29">#REF!</definedName>
    <definedName name="Loan_Years" localSheetId="27">#REF!</definedName>
    <definedName name="Loan_Years" localSheetId="28">#REF!</definedName>
    <definedName name="Loan_Years" localSheetId="12">#REF!</definedName>
    <definedName name="Loan_Years" localSheetId="13">#REF!</definedName>
    <definedName name="Loan_Years" localSheetId="14">#REF!</definedName>
    <definedName name="Loan_Years" localSheetId="19">#REF!</definedName>
    <definedName name="Loan_Years" localSheetId="30">#REF!</definedName>
    <definedName name="Loan_Years" localSheetId="31">#REF!</definedName>
    <definedName name="Loan_Years" localSheetId="32">#REF!</definedName>
    <definedName name="Loan_Years" localSheetId="36">#REF!</definedName>
    <definedName name="Loan_Years" localSheetId="35">#REF!</definedName>
    <definedName name="Loan_Years" localSheetId="34">#REF!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2">#REF!</definedName>
    <definedName name="Loan_Years" localSheetId="48">#REF!</definedName>
    <definedName name="Loan_Years" localSheetId="49">#REF!</definedName>
    <definedName name="Loan_Years" localSheetId="44">#REF!</definedName>
    <definedName name="Loan_Years" localSheetId="45">#REF!</definedName>
    <definedName name="Loan_Years" localSheetId="46">#REF!</definedName>
    <definedName name="Loan_Years" localSheetId="47">#REF!</definedName>
    <definedName name="Loan_Years" localSheetId="33">#REF!</definedName>
    <definedName name="Loan_Years" localSheetId="43">#REF!</definedName>
    <definedName name="Loan_Years" localSheetId="1">#REF!</definedName>
    <definedName name="Loan_Years">#REF!</definedName>
    <definedName name="MaR" localSheetId="10" hidden="1">{#N/A,#N/A,TRUE,"Krycí list"}</definedName>
    <definedName name="MaR" localSheetId="11" hidden="1">{#N/A,#N/A,TRUE,"Krycí list"}</definedName>
    <definedName name="MaR" localSheetId="23" hidden="1">{#N/A,#N/A,TRUE,"Krycí list"}</definedName>
    <definedName name="MaR" localSheetId="24" hidden="1">{#N/A,#N/A,TRUE,"Krycí list"}</definedName>
    <definedName name="MaR" localSheetId="22" hidden="1">{#N/A,#N/A,TRUE,"Krycí list"}</definedName>
    <definedName name="MaR" localSheetId="25" hidden="1">{#N/A,#N/A,TRUE,"Krycí list"}</definedName>
    <definedName name="MaR" localSheetId="29" hidden="1">{#N/A,#N/A,TRUE,"Krycí list"}</definedName>
    <definedName name="MaR" localSheetId="27" hidden="1">{#N/A,#N/A,TRUE,"Krycí list"}</definedName>
    <definedName name="MaR" localSheetId="28"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9" hidden="1">{#N/A,#N/A,TRUE,"Krycí list"}</definedName>
    <definedName name="MaR" localSheetId="30" hidden="1">{#N/A,#N/A,TRUE,"Krycí list"}</definedName>
    <definedName name="MaR" localSheetId="31" hidden="1">{#N/A,#N/A,TRUE,"Krycí list"}</definedName>
    <definedName name="MaR" localSheetId="32"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42" hidden="1">{#N/A,#N/A,TRUE,"Krycí list"}</definedName>
    <definedName name="MaR" localSheetId="0" hidden="1">{#N/A,#N/A,TRUE,"Krycí list"}</definedName>
    <definedName name="MaR" localSheetId="18" hidden="1">{#N/A,#N/A,TRUE,"Krycí list"}</definedName>
    <definedName name="MaR" localSheetId="33" hidden="1">{#N/A,#N/A,TRUE,"Krycí list"}</definedName>
    <definedName name="MaR" localSheetId="43" hidden="1">{#N/A,#N/A,TRUE,"Krycí list"}</definedName>
    <definedName name="MaR" localSheetId="26" hidden="1">{#N/A,#N/A,TRUE,"Krycí list"}</definedName>
    <definedName name="MaR" localSheetId="21"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11" hidden="1">{#N/A,#N/A,TRUE,"Krycí list"}</definedName>
    <definedName name="meraregulace" localSheetId="23" hidden="1">{#N/A,#N/A,TRUE,"Krycí list"}</definedName>
    <definedName name="meraregulace" localSheetId="24" hidden="1">{#N/A,#N/A,TRUE,"Krycí list"}</definedName>
    <definedName name="meraregulace" localSheetId="22" hidden="1">{#N/A,#N/A,TRUE,"Krycí list"}</definedName>
    <definedName name="meraregulace" localSheetId="25" hidden="1">{#N/A,#N/A,TRUE,"Krycí list"}</definedName>
    <definedName name="meraregulace" localSheetId="29" hidden="1">{#N/A,#N/A,TRUE,"Krycí list"}</definedName>
    <definedName name="meraregulace" localSheetId="27" hidden="1">{#N/A,#N/A,TRUE,"Krycí list"}</definedName>
    <definedName name="meraregulace" localSheetId="28"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9" hidden="1">{#N/A,#N/A,TRUE,"Krycí list"}</definedName>
    <definedName name="meraregulace" localSheetId="30" hidden="1">{#N/A,#N/A,TRUE,"Krycí list"}</definedName>
    <definedName name="meraregulace" localSheetId="31" hidden="1">{#N/A,#N/A,TRUE,"Krycí list"}</definedName>
    <definedName name="meraregulace" localSheetId="32"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42" hidden="1">{#N/A,#N/A,TRUE,"Krycí list"}</definedName>
    <definedName name="meraregulace" localSheetId="0" hidden="1">{#N/A,#N/A,TRUE,"Krycí list"}</definedName>
    <definedName name="meraregulace" localSheetId="18" hidden="1">{#N/A,#N/A,TRUE,"Krycí list"}</definedName>
    <definedName name="meraregulace" localSheetId="33" hidden="1">{#N/A,#N/A,TRUE,"Krycí list"}</definedName>
    <definedName name="meraregulace" localSheetId="43" hidden="1">{#N/A,#N/A,TRUE,"Krycí list"}</definedName>
    <definedName name="meraregulace" localSheetId="26" hidden="1">{#N/A,#N/A,TRUE,"Krycí list"}</definedName>
    <definedName name="meraregulace" localSheetId="21"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11">Scheduled_Payment+Extra_Payment</definedName>
    <definedName name="mereni" localSheetId="23">Scheduled_Payment+Extra_Payment</definedName>
    <definedName name="mereni" localSheetId="24">Scheduled_Payment+Extra_Payment</definedName>
    <definedName name="mereni" localSheetId="22">Scheduled_Payment+Extra_Payment</definedName>
    <definedName name="mereni" localSheetId="25">Scheduled_Payment+Extra_Payment</definedName>
    <definedName name="mereni" localSheetId="29">Scheduled_Payment+Extra_Payment</definedName>
    <definedName name="mereni" localSheetId="27">Scheduled_Payment+Extra_Payment</definedName>
    <definedName name="mereni" localSheetId="28">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9">Scheduled_Payment+Extra_Payment</definedName>
    <definedName name="mereni" localSheetId="20">Scheduled_Payment+Extra_Payment</definedName>
    <definedName name="mereni" localSheetId="30">Scheduled_Payment+Extra_Payment</definedName>
    <definedName name="mereni" localSheetId="31">Scheduled_Payment+Extra_Payment</definedName>
    <definedName name="mereni" localSheetId="32">Scheduled_Payment+Extra_Payment</definedName>
    <definedName name="mereni" localSheetId="36">Scheduled_Payment+Extra_Payment</definedName>
    <definedName name="mereni" localSheetId="35">Scheduled_Payment+Extra_Payment</definedName>
    <definedName name="mereni" localSheetId="34">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2">Scheduled_Payment+Extra_Payment</definedName>
    <definedName name="mereni" localSheetId="48">Scheduled_Payment+Extra_Payment</definedName>
    <definedName name="mereni" localSheetId="49">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0">Scheduled_Payment+Extra_Payment</definedName>
    <definedName name="mereni" localSheetId="18">Scheduled_Payment+Extra_Payment</definedName>
    <definedName name="mereni" localSheetId="33">Scheduled_Payment+Extra_Payment</definedName>
    <definedName name="mereni" localSheetId="43">Scheduled_Payment+Extra_Payment</definedName>
    <definedName name="mereni" localSheetId="26">Scheduled_Payment+Extra_Payment</definedName>
    <definedName name="mereni" localSheetId="21">Scheduled_Payment+Extra_Payment</definedName>
    <definedName name="mereni" localSheetId="1">Scheduled_Payment+Extra_Payment</definedName>
    <definedName name="mereni">Scheduled_Payment+Extra_Payment</definedName>
    <definedName name="MJ" localSheetId="10">#REF!</definedName>
    <definedName name="MJ" localSheetId="11">#REF!</definedName>
    <definedName name="MJ" localSheetId="23">#REF!</definedName>
    <definedName name="MJ" localSheetId="24">#REF!</definedName>
    <definedName name="MJ" localSheetId="22">#REF!</definedName>
    <definedName name="MJ" localSheetId="25">#REF!</definedName>
    <definedName name="MJ" localSheetId="29">#REF!</definedName>
    <definedName name="MJ" localSheetId="27">#REF!</definedName>
    <definedName name="MJ" localSheetId="28">#REF!</definedName>
    <definedName name="MJ" localSheetId="12">#REF!</definedName>
    <definedName name="MJ" localSheetId="13">#REF!</definedName>
    <definedName name="MJ" localSheetId="14">#REF!</definedName>
    <definedName name="MJ" localSheetId="19">#REF!</definedName>
    <definedName name="MJ" localSheetId="30">#REF!</definedName>
    <definedName name="MJ" localSheetId="31">#REF!</definedName>
    <definedName name="MJ" localSheetId="32">#REF!</definedName>
    <definedName name="MJ" localSheetId="36">#REF!</definedName>
    <definedName name="MJ" localSheetId="35">#REF!</definedName>
    <definedName name="MJ" localSheetId="34">#REF!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2">#REF!</definedName>
    <definedName name="MJ" localSheetId="48">#REF!</definedName>
    <definedName name="MJ" localSheetId="49">#REF!</definedName>
    <definedName name="MJ" localSheetId="44">#REF!</definedName>
    <definedName name="MJ" localSheetId="45">#REF!</definedName>
    <definedName name="MJ" localSheetId="46">#REF!</definedName>
    <definedName name="MJ" localSheetId="47">#REF!</definedName>
    <definedName name="MJ" localSheetId="0">#REF!</definedName>
    <definedName name="MJ" localSheetId="18">#REF!</definedName>
    <definedName name="MJ" localSheetId="33">#REF!</definedName>
    <definedName name="MJ" localSheetId="43">#REF!</definedName>
    <definedName name="MJ" localSheetId="26">#REF!</definedName>
    <definedName name="MJ" localSheetId="21">#REF!</definedName>
    <definedName name="MJ" localSheetId="1">#REF!</definedName>
    <definedName name="MJ">#REF!</definedName>
    <definedName name="Mont" localSheetId="10">#REF!</definedName>
    <definedName name="Mont" localSheetId="11">#REF!</definedName>
    <definedName name="Mont" localSheetId="23">#REF!</definedName>
    <definedName name="Mont" localSheetId="24">#REF!</definedName>
    <definedName name="Mont" localSheetId="22">#REF!</definedName>
    <definedName name="Mont" localSheetId="25">#REF!</definedName>
    <definedName name="Mont" localSheetId="29">#REF!</definedName>
    <definedName name="Mont" localSheetId="27">#REF!</definedName>
    <definedName name="Mont" localSheetId="28">#REF!</definedName>
    <definedName name="Mont" localSheetId="12">#REF!</definedName>
    <definedName name="Mont" localSheetId="13">#REF!</definedName>
    <definedName name="Mont" localSheetId="14">#REF!</definedName>
    <definedName name="Mont" localSheetId="19">#REF!</definedName>
    <definedName name="Mont" localSheetId="30">#REF!</definedName>
    <definedName name="Mont" localSheetId="31">#REF!</definedName>
    <definedName name="Mont" localSheetId="32">#REF!</definedName>
    <definedName name="Mont" localSheetId="36">#REF!</definedName>
    <definedName name="Mont" localSheetId="35">#REF!</definedName>
    <definedName name="Mont" localSheetId="34">#REF!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2">#REF!</definedName>
    <definedName name="Mont" localSheetId="48">#REF!</definedName>
    <definedName name="Mont" localSheetId="49">#REF!</definedName>
    <definedName name="Mont" localSheetId="44">#REF!</definedName>
    <definedName name="Mont" localSheetId="45">#REF!</definedName>
    <definedName name="Mont" localSheetId="46">#REF!</definedName>
    <definedName name="Mont" localSheetId="47">#REF!</definedName>
    <definedName name="Mont" localSheetId="0">#REF!</definedName>
    <definedName name="Mont" localSheetId="18">#REF!</definedName>
    <definedName name="Mont" localSheetId="33">#REF!</definedName>
    <definedName name="Mont" localSheetId="43">#REF!</definedName>
    <definedName name="Mont" localSheetId="26">#REF!</definedName>
    <definedName name="Mont" localSheetId="21">#REF!</definedName>
    <definedName name="Mont" localSheetId="1">#REF!</definedName>
    <definedName name="Mont">#REF!</definedName>
    <definedName name="Montaz0" localSheetId="10">#REF!</definedName>
    <definedName name="Montaz0" localSheetId="11">#REF!</definedName>
    <definedName name="Montaz0" localSheetId="23">#REF!</definedName>
    <definedName name="Montaz0" localSheetId="24">#REF!</definedName>
    <definedName name="Montaz0" localSheetId="22">#REF!</definedName>
    <definedName name="Montaz0" localSheetId="25">#REF!</definedName>
    <definedName name="Montaz0" localSheetId="29">#REF!</definedName>
    <definedName name="Montaz0" localSheetId="27">#REF!</definedName>
    <definedName name="Montaz0" localSheetId="28">#REF!</definedName>
    <definedName name="Montaz0" localSheetId="12">#REF!</definedName>
    <definedName name="Montaz0" localSheetId="13">#REF!</definedName>
    <definedName name="Montaz0" localSheetId="14">#REF!</definedName>
    <definedName name="Montaz0" localSheetId="19">#REF!</definedName>
    <definedName name="Montaz0" localSheetId="30">#REF!</definedName>
    <definedName name="Montaz0" localSheetId="31">#REF!</definedName>
    <definedName name="Montaz0" localSheetId="32">#REF!</definedName>
    <definedName name="Montaz0" localSheetId="36">#REF!</definedName>
    <definedName name="Montaz0" localSheetId="35">#REF!</definedName>
    <definedName name="Montaz0" localSheetId="34">#REF!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2">#REF!</definedName>
    <definedName name="Montaz0" localSheetId="48">#REF!</definedName>
    <definedName name="Montaz0" localSheetId="49">#REF!</definedName>
    <definedName name="Montaz0" localSheetId="44">#REF!</definedName>
    <definedName name="Montaz0" localSheetId="45">#REF!</definedName>
    <definedName name="Montaz0" localSheetId="46">#REF!</definedName>
    <definedName name="Montaz0" localSheetId="47">#REF!</definedName>
    <definedName name="Montaz0" localSheetId="0">'[11]002-A.1. Archstav  reseni'!#REF!</definedName>
    <definedName name="Montaz0" localSheetId="18">#REF!</definedName>
    <definedName name="Montaz0" localSheetId="33">#REF!</definedName>
    <definedName name="Montaz0" localSheetId="43">#REF!</definedName>
    <definedName name="Montaz0" localSheetId="1">#REF!</definedName>
    <definedName name="Montaz0">#REF!</definedName>
    <definedName name="mts" localSheetId="10">#REF!</definedName>
    <definedName name="mts" localSheetId="11">#REF!</definedName>
    <definedName name="mts" localSheetId="23">#REF!</definedName>
    <definedName name="mts" localSheetId="24">#REF!</definedName>
    <definedName name="mts" localSheetId="22">#REF!</definedName>
    <definedName name="mts" localSheetId="25">#REF!</definedName>
    <definedName name="mts" localSheetId="29">#REF!</definedName>
    <definedName name="mts" localSheetId="27">#REF!</definedName>
    <definedName name="mts" localSheetId="28">#REF!</definedName>
    <definedName name="mts" localSheetId="12">#REF!</definedName>
    <definedName name="mts" localSheetId="14">#REF!</definedName>
    <definedName name="mts" localSheetId="19">#REF!</definedName>
    <definedName name="mts" localSheetId="30">#REF!</definedName>
    <definedName name="mts" localSheetId="31">#REF!</definedName>
    <definedName name="mts" localSheetId="32">#REF!</definedName>
    <definedName name="mts" localSheetId="36">#REF!</definedName>
    <definedName name="mts" localSheetId="35">#REF!</definedName>
    <definedName name="mts" localSheetId="34">#REF!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2">#REF!</definedName>
    <definedName name="mts" localSheetId="48">#REF!</definedName>
    <definedName name="mts" localSheetId="49">#REF!</definedName>
    <definedName name="mts" localSheetId="44">#REF!</definedName>
    <definedName name="mts" localSheetId="45">#REF!</definedName>
    <definedName name="mts" localSheetId="46">#REF!</definedName>
    <definedName name="mts" localSheetId="47">#REF!</definedName>
    <definedName name="mts" localSheetId="33">#REF!</definedName>
    <definedName name="mts" localSheetId="43">#REF!</definedName>
    <definedName name="mts" localSheetId="1">#REF!</definedName>
    <definedName name="mts">#REF!</definedName>
    <definedName name="n" localSheetId="10">Scheduled_Payment+Extra_Payment</definedName>
    <definedName name="n" localSheetId="11">Scheduled_Payment+Extra_Payment</definedName>
    <definedName name="n" localSheetId="23">Scheduled_Payment+Extra_Payment</definedName>
    <definedName name="n" localSheetId="24">Scheduled_Payment+Extra_Payment</definedName>
    <definedName name="n" localSheetId="22">Scheduled_Payment+Extra_Payment</definedName>
    <definedName name="n" localSheetId="25">Scheduled_Payment+Extra_Payment</definedName>
    <definedName name="n" localSheetId="29">Scheduled_Payment+Extra_Payment</definedName>
    <definedName name="n" localSheetId="27">Scheduled_Payment+Extra_Payment</definedName>
    <definedName name="n" localSheetId="28">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9">Scheduled_Payment+Extra_Payment</definedName>
    <definedName name="n" localSheetId="20">Scheduled_Payment+Extra_Payment</definedName>
    <definedName name="n" localSheetId="30">Scheduled_Payment+Extra_Payment</definedName>
    <definedName name="n" localSheetId="31">Scheduled_Payment+Extra_Payment</definedName>
    <definedName name="n" localSheetId="32">Scheduled_Payment+Extra_Payment</definedName>
    <definedName name="n" localSheetId="36">Scheduled_Payment+Extra_Payment</definedName>
    <definedName name="n" localSheetId="35">Scheduled_Payment+Extra_Payment</definedName>
    <definedName name="n" localSheetId="34">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2">Scheduled_Payment+Extra_Payment</definedName>
    <definedName name="n" localSheetId="48">Scheduled_Payment+Extra_Payment</definedName>
    <definedName name="n" localSheetId="49">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0">Scheduled_Payment+Extra_Payment</definedName>
    <definedName name="n" localSheetId="18">Scheduled_Payment+Extra_Payment</definedName>
    <definedName name="n" localSheetId="33">Scheduled_Payment+Extra_Payment</definedName>
    <definedName name="n" localSheetId="43">Scheduled_Payment+Extra_Payment</definedName>
    <definedName name="n" localSheetId="26">Scheduled_Payment+Extra_Payment</definedName>
    <definedName name="n" localSheetId="21">Scheduled_Payment+Extra_Payment</definedName>
    <definedName name="n" localSheetId="1">Scheduled_Payment+Extra_Payment</definedName>
    <definedName name="n">Scheduled_Payment+Extra_Payment</definedName>
    <definedName name="NazevDilu" localSheetId="10">#REF!</definedName>
    <definedName name="NazevDilu" localSheetId="11">#REF!</definedName>
    <definedName name="NazevDilu" localSheetId="23">#REF!</definedName>
    <definedName name="NazevDilu" localSheetId="24">#REF!</definedName>
    <definedName name="NazevDilu" localSheetId="22">#REF!</definedName>
    <definedName name="NazevDilu" localSheetId="25">#REF!</definedName>
    <definedName name="NazevDilu" localSheetId="29">#REF!</definedName>
    <definedName name="NazevDilu" localSheetId="27">#REF!</definedName>
    <definedName name="NazevDilu" localSheetId="28">#REF!</definedName>
    <definedName name="NazevDilu" localSheetId="12">#REF!</definedName>
    <definedName name="NazevDilu" localSheetId="13">#REF!</definedName>
    <definedName name="NazevDilu" localSheetId="14">#REF!</definedName>
    <definedName name="NazevDilu" localSheetId="19">#REF!</definedName>
    <definedName name="NazevDilu" localSheetId="30">#REF!</definedName>
    <definedName name="NazevDilu" localSheetId="31">#REF!</definedName>
    <definedName name="NazevDilu" localSheetId="32">#REF!</definedName>
    <definedName name="NazevDilu" localSheetId="36">#REF!</definedName>
    <definedName name="NazevDilu" localSheetId="35">#REF!</definedName>
    <definedName name="NazevDilu" localSheetId="34">#REF!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2">#REF!</definedName>
    <definedName name="NazevDilu" localSheetId="48">#REF!</definedName>
    <definedName name="NazevDilu" localSheetId="49">#REF!</definedName>
    <definedName name="NazevDilu" localSheetId="44">#REF!</definedName>
    <definedName name="NazevDilu" localSheetId="45">#REF!</definedName>
    <definedName name="NazevDilu" localSheetId="46">#REF!</definedName>
    <definedName name="NazevDilu" localSheetId="47">#REF!</definedName>
    <definedName name="NazevDilu" localSheetId="0">#REF!</definedName>
    <definedName name="NazevDilu" localSheetId="18">#REF!</definedName>
    <definedName name="NazevDilu" localSheetId="33">#REF!</definedName>
    <definedName name="NazevDilu" localSheetId="43">#REF!</definedName>
    <definedName name="NazevDilu" localSheetId="26">#REF!</definedName>
    <definedName name="NazevDilu" localSheetId="21">#REF!</definedName>
    <definedName name="NazevDilu" localSheetId="1">#REF!</definedName>
    <definedName name="NazevDilu">#REF!</definedName>
    <definedName name="nazevobjektu" localSheetId="10">#REF!</definedName>
    <definedName name="nazevobjektu" localSheetId="11">#REF!</definedName>
    <definedName name="nazevobjektu" localSheetId="23">#REF!</definedName>
    <definedName name="nazevobjektu" localSheetId="24">#REF!</definedName>
    <definedName name="nazevobjektu" localSheetId="22">#REF!</definedName>
    <definedName name="nazevobjektu" localSheetId="25">#REF!</definedName>
    <definedName name="nazevobjektu" localSheetId="29">#REF!</definedName>
    <definedName name="nazevobjektu" localSheetId="27">#REF!</definedName>
    <definedName name="nazevobjektu" localSheetId="28">#REF!</definedName>
    <definedName name="nazevobjektu" localSheetId="12">#REF!</definedName>
    <definedName name="nazevobjektu" localSheetId="13">#REF!</definedName>
    <definedName name="nazevobjektu" localSheetId="14">#REF!</definedName>
    <definedName name="nazevobjektu" localSheetId="19">#REF!</definedName>
    <definedName name="nazevobjektu" localSheetId="30">#REF!</definedName>
    <definedName name="nazevobjektu" localSheetId="31">#REF!</definedName>
    <definedName name="nazevobjektu" localSheetId="32">#REF!</definedName>
    <definedName name="nazevobjektu" localSheetId="36">#REF!</definedName>
    <definedName name="nazevobjektu" localSheetId="35">#REF!</definedName>
    <definedName name="nazevobjektu" localSheetId="34">#REF!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2">#REF!</definedName>
    <definedName name="nazevobjektu" localSheetId="48">#REF!</definedName>
    <definedName name="nazevobjektu" localSheetId="49">#REF!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0">KL!$C$34</definedName>
    <definedName name="nazevobjektu" localSheetId="18">#REF!</definedName>
    <definedName name="nazevobjektu" localSheetId="33">#REF!</definedName>
    <definedName name="nazevobjektu" localSheetId="43">#REF!</definedName>
    <definedName name="nazevobjektu" localSheetId="26">#REF!</definedName>
    <definedName name="nazevobjektu" localSheetId="21">#REF!</definedName>
    <definedName name="nazevobjektu" localSheetId="1">#REF!</definedName>
    <definedName name="nazevobjektu">#REF!</definedName>
    <definedName name="nazevstavby" localSheetId="10">#REF!</definedName>
    <definedName name="nazevstavby" localSheetId="11">#REF!</definedName>
    <definedName name="nazevstavby" localSheetId="23">#REF!</definedName>
    <definedName name="nazevstavby" localSheetId="24">#REF!</definedName>
    <definedName name="nazevstavby" localSheetId="22">#REF!</definedName>
    <definedName name="nazevstavby" localSheetId="25">#REF!</definedName>
    <definedName name="nazevstavby" localSheetId="29">#REF!</definedName>
    <definedName name="nazevstavby" localSheetId="27">#REF!</definedName>
    <definedName name="nazevstavby" localSheetId="28">#REF!</definedName>
    <definedName name="nazevstavby" localSheetId="12">#REF!</definedName>
    <definedName name="nazevstavby" localSheetId="13">#REF!</definedName>
    <definedName name="nazevstavby" localSheetId="14">#REF!</definedName>
    <definedName name="nazevstavby" localSheetId="19">#REF!</definedName>
    <definedName name="nazevstavby" localSheetId="30">#REF!</definedName>
    <definedName name="nazevstavby" localSheetId="31">#REF!</definedName>
    <definedName name="nazevstavby" localSheetId="32">#REF!</definedName>
    <definedName name="nazevstavby" localSheetId="36">#REF!</definedName>
    <definedName name="nazevstavby" localSheetId="35">#REF!</definedName>
    <definedName name="nazevstavby" localSheetId="34">#REF!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2">#REF!</definedName>
    <definedName name="nazevstavby" localSheetId="48">#REF!</definedName>
    <definedName name="nazevstavby" localSheetId="49">#REF!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0">KL!$D$5</definedName>
    <definedName name="nazevstavby" localSheetId="18">#REF!</definedName>
    <definedName name="nazevstavby" localSheetId="33">#REF!</definedName>
    <definedName name="nazevstavby" localSheetId="43">#REF!</definedName>
    <definedName name="nazevstavby" localSheetId="26">#REF!</definedName>
    <definedName name="nazevstavby" localSheetId="21">#REF!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11">#REF!</definedName>
    <definedName name="Num_Pmt_Per_Year" localSheetId="23">#REF!</definedName>
    <definedName name="Num_Pmt_Per_Year" localSheetId="24">#REF!</definedName>
    <definedName name="Num_Pmt_Per_Year" localSheetId="22">#REF!</definedName>
    <definedName name="Num_Pmt_Per_Year" localSheetId="25">#REF!</definedName>
    <definedName name="Num_Pmt_Per_Year" localSheetId="29">#REF!</definedName>
    <definedName name="Num_Pmt_Per_Year" localSheetId="27">#REF!</definedName>
    <definedName name="Num_Pmt_Per_Year" localSheetId="28">#REF!</definedName>
    <definedName name="Num_Pmt_Per_Year" localSheetId="12">#REF!</definedName>
    <definedName name="Num_Pmt_Per_Year" localSheetId="13">#REF!</definedName>
    <definedName name="Num_Pmt_Per_Year" localSheetId="14">#REF!</definedName>
    <definedName name="Num_Pmt_Per_Year" localSheetId="19">#REF!</definedName>
    <definedName name="Num_Pmt_Per_Year" localSheetId="30">#REF!</definedName>
    <definedName name="Num_Pmt_Per_Year" localSheetId="31">#REF!</definedName>
    <definedName name="Num_Pmt_Per_Year" localSheetId="32">#REF!</definedName>
    <definedName name="Num_Pmt_Per_Year" localSheetId="36">#REF!</definedName>
    <definedName name="Num_Pmt_Per_Year" localSheetId="35">#REF!</definedName>
    <definedName name="Num_Pmt_Per_Year" localSheetId="34">#REF!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2">#REF!</definedName>
    <definedName name="Num_Pmt_Per_Year" localSheetId="48">#REF!</definedName>
    <definedName name="Num_Pmt_Per_Year" localSheetId="49">#REF!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33">#REF!</definedName>
    <definedName name="Num_Pmt_Per_Year" localSheetId="43">#REF!</definedName>
    <definedName name="Num_Pmt_Per_Year" localSheetId="1">#REF!</definedName>
    <definedName name="Num_Pmt_Per_Year">#REF!</definedName>
    <definedName name="Number_of_Payments" localSheetId="10">MATCH(0.01,'D.1.1.c.01. VÝPIS DVEŘÍ'!End_Bal,-1)+1</definedName>
    <definedName name="Number_of_Payments" localSheetId="11">MATCH(0.01,'D.1.4.1. ZTI'!End_Bal,-1)+1</definedName>
    <definedName name="Number_of_Payments" localSheetId="23">MATCH(0.01,'D.1.4.10.1. MOBILIÁŘ'!End_Bal,-1)+1</definedName>
    <definedName name="Number_of_Payments" localSheetId="24">MATCH(0.01,'D.1.4.10.1. OPLOCENÍ'!End_Bal,-1)+1</definedName>
    <definedName name="Number_of_Payments" localSheetId="22">MATCH(0.01,'D.1.4.10.1. SADOVÉ ÚPRAVY'!End_Bal,-1)+1</definedName>
    <definedName name="Number_of_Payments" localSheetId="25">MATCH(0.01,'D.1.4.10.2. ZP. PLOCHY A KOMUN.'!End_Bal,-1)+1</definedName>
    <definedName name="Number_of_Payments" localSheetId="29">MATCH(0.01,'D.1.4.10.3. DROBNÁ ARCH. - KOL.'!End_Bal,-1)+1</definedName>
    <definedName name="Number_of_Payments" localSheetId="27">MATCH(0.01,'D.1.4.10.3. DROBNÁ ARCH. - SKL.'!End_Bal,-1)+1</definedName>
    <definedName name="Number_of_Payments" localSheetId="28">MATCH(0.01,'D.1.4.10.3. DROBNÁ ARCH. - ZÁZ.'!End_Bal,-1)+1</definedName>
    <definedName name="Number_of_Payments" localSheetId="12">MATCH(0.01,'D.1.4.2. ODBĚR. PLYN. ZAŘÍZ.'!End_Bal,-1)+1</definedName>
    <definedName name="Number_of_Payments" localSheetId="13">MATCH(0.01,End_Bal,-1)+1</definedName>
    <definedName name="Number_of_Payments" localSheetId="14">MATCH(0.01,'D.1.4.4. VYTÁPĚNÍ'!End_Bal,-1)+1</definedName>
    <definedName name="Number_of_Payments" localSheetId="19">MATCH(0.01,'D.1.4.8. EL. KOMUNIKACE'!End_Bal,-1)+1</definedName>
    <definedName name="Number_of_Payments" localSheetId="30">MATCH(0.01,'D.2.1. PŘÍPOJKA VODOVODU'!End_Bal,-1)+1</definedName>
    <definedName name="Number_of_Payments" localSheetId="31">MATCH(0.01,'D.2.1.1. AREÁLOVÝ VODOVOD'!End_Bal,-1)+1</definedName>
    <definedName name="Number_of_Payments" localSheetId="32">MATCH(0.01,'D.2.2. PŘÍPOJKA KANALIZACE'!End_Bal,-1)+1</definedName>
    <definedName name="Number_of_Payments" localSheetId="36">MATCH(0.01,'D.2.3. AKUMULAČNÍ NÁDRŽ'!End_Bal,-1)+1</definedName>
    <definedName name="Number_of_Payments" localSheetId="35">MATCH(0.01,'D.2.3. AREÁL DEŠŤOVÁ KANAL.'!End_Bal,-1)+1</definedName>
    <definedName name="Number_of_Payments" localSheetId="34">MATCH(0.01,'D.2.3. AREÁL SPLAŠKOVÁ KANAL.'!End_Bal,-1)+1</definedName>
    <definedName name="Number_of_Payments" localSheetId="37">MATCH(0.01,'D.2.3. ČERPACÍ STANICE'!End_Bal,-1)+1</definedName>
    <definedName name="Number_of_Payments" localSheetId="38">MATCH(0.01,'D.2.3. VSAKOVACÍ NÁDRŽE'!End_Bal,-1)+1</definedName>
    <definedName name="Number_of_Payments" localSheetId="39">MATCH(0.01,'D.2.4. PŘELOŽKA STL PLYNOVODU'!End_Bal,-1)+1</definedName>
    <definedName name="Number_of_Payments" localSheetId="40">MATCH(0.01,'D.2.5. PŘÍPOJKA NN'!End_Bal,-1)+1</definedName>
    <definedName name="Number_of_Payments" localSheetId="41">MATCH(0.01,'D.2.6. PŘÍPOJKA EL. KOMUNIKACE'!End_Bal,-1)+1</definedName>
    <definedName name="Number_of_Payments" localSheetId="42">MATCH(0.01,'D.2.7. AREÁL OSVĚTLENÍ - TR. A1'!End_Bal,-1)+1</definedName>
    <definedName name="Number_of_Payments" localSheetId="48">MATCH(0.01,'D.2.8. AREÁL VEDENÍ NN-TR.  NN5'!End_Bal,-1)+1</definedName>
    <definedName name="Number_of_Payments" localSheetId="49">MATCH(0.01,'D.2.8. AREÁL VEDENÍ NN-TR.  NN6'!End_Bal,-1)+1</definedName>
    <definedName name="Number_of_Payments" localSheetId="44">MATCH(0.01,'D.2.8. AREÁL VEDENÍ NN-TR. NN1 '!End_Bal,-1)+1</definedName>
    <definedName name="Number_of_Payments" localSheetId="45">MATCH(0.01,'D.2.8. AREÁL VEDENÍ NN-TR. NN2'!End_Bal,-1)+1</definedName>
    <definedName name="Number_of_Payments" localSheetId="46">MATCH(0.01,'D.2.8. AREÁL VEDENÍ NN-TR. NN3'!End_Bal,-1)+1</definedName>
    <definedName name="Number_of_Payments" localSheetId="47">MATCH(0.01,'D.2.8. AREÁL VEDENÍ NN-TR. NN4'!End_Bal,-1)+1</definedName>
    <definedName name="Number_of_Payments" localSheetId="0">MATCH(0.01,End_Bal,-1)+1</definedName>
    <definedName name="Number_of_Payments" localSheetId="18">MATCH(0.01,End_Bal,-1)+1</definedName>
    <definedName name="Number_of_Payments" localSheetId="33">MATCH(0.01,'REKAPITULACE - AREÁL KAN'!End_Bal,-1)+1</definedName>
    <definedName name="Number_of_Payments" localSheetId="43">MATCH(0.01,'REKAPITULACE - AREÁL NN'!End_Bal,-1)+1</definedName>
    <definedName name="Number_of_Payments" localSheetId="26">MATCH(0.01,End_Bal,-1)+1</definedName>
    <definedName name="Number_of_Payments" localSheetId="21">MATCH(0.01,[0]!End_Bal,-1)+1</definedName>
    <definedName name="Number_of_Payments" localSheetId="1">MATCH(0.01,VRN!End_Bal,-1)+1</definedName>
    <definedName name="Number_of_Payments">MATCH(0.01,End_Bal,-1)+1</definedName>
    <definedName name="obch_sleva" localSheetId="10">#REF!</definedName>
    <definedName name="obch_sleva" localSheetId="11">#REF!</definedName>
    <definedName name="obch_sleva" localSheetId="23">#REF!</definedName>
    <definedName name="obch_sleva" localSheetId="24">#REF!</definedName>
    <definedName name="obch_sleva" localSheetId="22">#REF!</definedName>
    <definedName name="obch_sleva" localSheetId="25">#REF!</definedName>
    <definedName name="obch_sleva" localSheetId="29">#REF!</definedName>
    <definedName name="obch_sleva" localSheetId="27">#REF!</definedName>
    <definedName name="obch_sleva" localSheetId="28">#REF!</definedName>
    <definedName name="obch_sleva" localSheetId="12">#REF!</definedName>
    <definedName name="obch_sleva" localSheetId="13">#REF!</definedName>
    <definedName name="obch_sleva" localSheetId="14">#REF!</definedName>
    <definedName name="obch_sleva" localSheetId="19">#REF!</definedName>
    <definedName name="obch_sleva" localSheetId="30">#REF!</definedName>
    <definedName name="obch_sleva" localSheetId="31">#REF!</definedName>
    <definedName name="obch_sleva" localSheetId="32">#REF!</definedName>
    <definedName name="obch_sleva" localSheetId="36">#REF!</definedName>
    <definedName name="obch_sleva" localSheetId="35">#REF!</definedName>
    <definedName name="obch_sleva" localSheetId="34">#REF!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2">#REF!</definedName>
    <definedName name="obch_sleva" localSheetId="48">#REF!</definedName>
    <definedName name="obch_sleva" localSheetId="49">#REF!</definedName>
    <definedName name="obch_sleva" localSheetId="44">#REF!</definedName>
    <definedName name="obch_sleva" localSheetId="45">#REF!</definedName>
    <definedName name="obch_sleva" localSheetId="46">#REF!</definedName>
    <definedName name="obch_sleva" localSheetId="47">#REF!</definedName>
    <definedName name="obch_sleva" localSheetId="18">#REF!</definedName>
    <definedName name="obch_sleva" localSheetId="33">#REF!</definedName>
    <definedName name="obch_sleva" localSheetId="43">#REF!</definedName>
    <definedName name="obch_sleva" localSheetId="26">#REF!</definedName>
    <definedName name="obch_sleva" localSheetId="21">#REF!</definedName>
    <definedName name="obch_sleva" localSheetId="1">#REF!</definedName>
    <definedName name="obch_sleva">#REF!</definedName>
    <definedName name="Objednatel" localSheetId="10">#REF!</definedName>
    <definedName name="Objednatel" localSheetId="11">#REF!</definedName>
    <definedName name="Objednatel" localSheetId="23">#REF!</definedName>
    <definedName name="Objednatel" localSheetId="24">#REF!</definedName>
    <definedName name="Objednatel" localSheetId="22">#REF!</definedName>
    <definedName name="Objednatel" localSheetId="25">#REF!</definedName>
    <definedName name="Objednatel" localSheetId="29">#REF!</definedName>
    <definedName name="Objednatel" localSheetId="27">#REF!</definedName>
    <definedName name="Objednatel" localSheetId="28">#REF!</definedName>
    <definedName name="Objednatel" localSheetId="12">#REF!</definedName>
    <definedName name="Objednatel" localSheetId="13">#REF!</definedName>
    <definedName name="Objednatel" localSheetId="14">#REF!</definedName>
    <definedName name="Objednatel" localSheetId="19">#REF!</definedName>
    <definedName name="Objednatel" localSheetId="30">#REF!</definedName>
    <definedName name="Objednatel" localSheetId="31">#REF!</definedName>
    <definedName name="Objednatel" localSheetId="32">#REF!</definedName>
    <definedName name="Objednatel" localSheetId="36">#REF!</definedName>
    <definedName name="Objednatel" localSheetId="35">#REF!</definedName>
    <definedName name="Objednatel" localSheetId="34">#REF!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2">#REF!</definedName>
    <definedName name="Objednatel" localSheetId="48">#REF!</definedName>
    <definedName name="Objednatel" localSheetId="49">#REF!</definedName>
    <definedName name="Objednatel" localSheetId="44">#REF!</definedName>
    <definedName name="Objednatel" localSheetId="45">#REF!</definedName>
    <definedName name="Objednatel" localSheetId="46">#REF!</definedName>
    <definedName name="Objednatel" localSheetId="47">#REF!</definedName>
    <definedName name="Objednatel" localSheetId="0">KL!$D$9</definedName>
    <definedName name="Objednatel" localSheetId="18">#REF!</definedName>
    <definedName name="Objednatel" localSheetId="33">#REF!</definedName>
    <definedName name="Objednatel" localSheetId="43">#REF!</definedName>
    <definedName name="Objednatel" localSheetId="26">#REF!</definedName>
    <definedName name="Objednatel" localSheetId="21">#REF!</definedName>
    <definedName name="Objednatel" localSheetId="1">#REF!</definedName>
    <definedName name="Objednatel">#REF!</definedName>
    <definedName name="Objekt" localSheetId="0">KL!$B$34</definedName>
    <definedName name="_xlnm.Print_Area" localSheetId="3">'01 - Novostavba'!$C$4:$K$1201</definedName>
    <definedName name="_xlnm.Print_Area" localSheetId="4">'01.1 - Novostavba - podlahy'!$C$4:$K$344</definedName>
    <definedName name="_xlnm.Print_Area" localSheetId="5">'01.2 - Výpisy prvků - ta...'!$C$4:$K$1902</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'D.1.1.c.01. VÝPIS DVEŘÍ'!$A$1:$I$789</definedName>
    <definedName name="_xlnm.Print_Area" localSheetId="11">'D.1.4.1. ZTI'!$A$1:$J$1005</definedName>
    <definedName name="_xlnm.Print_Area" localSheetId="23">'D.1.4.10.1. MOBILIÁŘ'!$A$1:$I$76</definedName>
    <definedName name="_xlnm.Print_Area" localSheetId="24">'D.1.4.10.1. OPLOCENÍ'!$A$1:$I$125</definedName>
    <definedName name="_xlnm.Print_Area" localSheetId="22">'D.1.4.10.1. SADOVÉ ÚPRAVY'!$A$1:$I$241</definedName>
    <definedName name="_xlnm.Print_Area" localSheetId="25">'D.1.4.10.2. ZP. PLOCHY A KOMUN.'!$A$1:$I$436</definedName>
    <definedName name="_xlnm.Print_Area" localSheetId="29">'D.1.4.10.3. DROBNÁ ARCH. - KOL.'!$A$1:$I$215</definedName>
    <definedName name="_xlnm.Print_Area" localSheetId="27">'D.1.4.10.3. DROBNÁ ARCH. - SKL.'!$A$1:$I$166</definedName>
    <definedName name="_xlnm.Print_Area" localSheetId="28">'D.1.4.10.3. DROBNÁ ARCH. - ZÁZ.'!$A$1:$I$313</definedName>
    <definedName name="_xlnm.Print_Area" localSheetId="12">'D.1.4.2. ODBĚR. PLYN. ZAŘÍZ.'!$A$1:$I$284</definedName>
    <definedName name="_xlnm.Print_Area" localSheetId="13">'D.1.4.3. VZDUCHOTECHNIKA'!$A$1:$J$1522</definedName>
    <definedName name="_xlnm.Print_Area" localSheetId="14">'D.1.4.4. VYTÁPĚNÍ'!$A$1:$J$608</definedName>
    <definedName name="_xlnm.Print_Area" localSheetId="15">'D.1.4.5. CHLAZENÍ'!$A$1:$I$498</definedName>
    <definedName name="_xlnm.Print_Area" localSheetId="16">'D.1.4.7. SILNOPROUD'!$A$1:$J$491</definedName>
    <definedName name="_xlnm.Print_Area" localSheetId="17">'D.1.4.7.1 FOTOVOLTAIKA'!$A$1:$I$103</definedName>
    <definedName name="_xlnm.Print_Area" localSheetId="19">'D.1.4.8. EL. KOMUNIKACE'!$A$1:$J$316</definedName>
    <definedName name="_xlnm.Print_Area" localSheetId="20">'D.1.4.8. EL. KOMUNIKACE-MEDICAL'!$A$1:$I$260</definedName>
    <definedName name="_xlnm.Print_Area" localSheetId="30">'D.2.1. PŘÍPOJKA VODOVODU'!$A$1:$I$220</definedName>
    <definedName name="_xlnm.Print_Area" localSheetId="31">'D.2.1.1. AREÁLOVÝ VODOVOD'!$A$1:$I$176</definedName>
    <definedName name="_xlnm.Print_Area" localSheetId="32">'D.2.2. PŘÍPOJKA KANALIZACE'!$A$1:$I$247</definedName>
    <definedName name="_xlnm.Print_Area" localSheetId="36">'D.2.3. AKUMULAČNÍ NÁDRŽ'!$A$1:$I$160</definedName>
    <definedName name="_xlnm.Print_Area" localSheetId="35">'D.2.3. AREÁL DEŠŤOVÁ KANAL.'!$A$1:$I$509</definedName>
    <definedName name="_xlnm.Print_Area" localSheetId="34">'D.2.3. AREÁL SPLAŠKOVÁ KANAL.'!$A$1:$I$468</definedName>
    <definedName name="_xlnm.Print_Area" localSheetId="37">'D.2.3. ČERPACÍ STANICE'!$A$1:$I$164</definedName>
    <definedName name="_xlnm.Print_Area" localSheetId="38">'D.2.3. VSAKOVACÍ NÁDRŽE'!$A$1:$I$164</definedName>
    <definedName name="_xlnm.Print_Area" localSheetId="39">'D.2.4. PŘELOŽKA STL PLYNOVODU'!$A$1:$I$215</definedName>
    <definedName name="_xlnm.Print_Area" localSheetId="40">'D.2.5. PŘÍPOJKA NN'!$A$1:$I$221</definedName>
    <definedName name="_xlnm.Print_Area" localSheetId="41">'D.2.6. PŘÍPOJKA EL. KOMUNIKACE'!$A$1:$I$207</definedName>
    <definedName name="_xlnm.Print_Area" localSheetId="42">'D.2.7. AREÁL OSVĚTLENÍ - TR. A1'!$A$1:$I$135</definedName>
    <definedName name="_xlnm.Print_Area" localSheetId="48">'D.2.8. AREÁL VEDENÍ NN-TR.  NN5'!$A$1:$I$129</definedName>
    <definedName name="_xlnm.Print_Area" localSheetId="49">'D.2.8. AREÁL VEDENÍ NN-TR.  NN6'!$A$1:$I$142</definedName>
    <definedName name="_xlnm.Print_Area" localSheetId="44">'D.2.8. AREÁL VEDENÍ NN-TR. NN1 '!$A$1:$I$177</definedName>
    <definedName name="_xlnm.Print_Area" localSheetId="45">'D.2.8. AREÁL VEDENÍ NN-TR. NN2'!$A$1:$I$206</definedName>
    <definedName name="_xlnm.Print_Area" localSheetId="46">'D.2.8. AREÁL VEDENÍ NN-TR. NN3'!$A$1:$I$200</definedName>
    <definedName name="_xlnm.Print_Area" localSheetId="47">'D.2.8. AREÁL VEDENÍ NN-TR. NN4'!$A$1:$I$129</definedName>
    <definedName name="_xlnm.Print_Area" localSheetId="0">KL!$A$1:$I$81</definedName>
    <definedName name="_xlnm.Print_Area" localSheetId="50">'KOLEJNICOVÝ SYSTÉM'!$A$1:$F$33</definedName>
    <definedName name="_xlnm.Print_Area" localSheetId="18">REKAPITULACE!$A$1:$C$10</definedName>
    <definedName name="_xlnm.Print_Area" localSheetId="33">'REKAPITULACE - AREÁL KAN'!$A$1:$C$15</definedName>
    <definedName name="_xlnm.Print_Area" localSheetId="43">'REKAPITULACE - AREÁL NN'!$A$1:$C$16</definedName>
    <definedName name="_xlnm.Print_Area" localSheetId="26">'REKAPITULACE - DA'!$A$1:$C$11</definedName>
    <definedName name="_xlnm.Print_Area" localSheetId="21">'REKAPITULACE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11">#REF!</definedName>
    <definedName name="op" localSheetId="23">#REF!</definedName>
    <definedName name="op" localSheetId="24">#REF!</definedName>
    <definedName name="op" localSheetId="22">#REF!</definedName>
    <definedName name="op" localSheetId="25">#REF!</definedName>
    <definedName name="op" localSheetId="29">#REF!</definedName>
    <definedName name="op" localSheetId="27">#REF!</definedName>
    <definedName name="op" localSheetId="28">#REF!</definedName>
    <definedName name="op" localSheetId="12">#REF!</definedName>
    <definedName name="op" localSheetId="13">#REF!</definedName>
    <definedName name="op" localSheetId="14">#REF!</definedName>
    <definedName name="op" localSheetId="19">#REF!</definedName>
    <definedName name="op" localSheetId="30">#REF!</definedName>
    <definedName name="op" localSheetId="31">#REF!</definedName>
    <definedName name="op" localSheetId="32">#REF!</definedName>
    <definedName name="op" localSheetId="36">#REF!</definedName>
    <definedName name="op" localSheetId="35">#REF!</definedName>
    <definedName name="op" localSheetId="34">#REF!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2">#REF!</definedName>
    <definedName name="op" localSheetId="48">#REF!</definedName>
    <definedName name="op" localSheetId="49">#REF!</definedName>
    <definedName name="op" localSheetId="44">#REF!</definedName>
    <definedName name="op" localSheetId="45">#REF!</definedName>
    <definedName name="op" localSheetId="46">#REF!</definedName>
    <definedName name="op" localSheetId="47">#REF!</definedName>
    <definedName name="op" localSheetId="18">#REF!</definedName>
    <definedName name="op" localSheetId="33">#REF!</definedName>
    <definedName name="op" localSheetId="43">#REF!</definedName>
    <definedName name="op" localSheetId="26">#REF!</definedName>
    <definedName name="op" localSheetId="21">#REF!</definedName>
    <definedName name="op" localSheetId="1">#REF!</definedName>
    <definedName name="op">#REF!</definedName>
    <definedName name="opsc" localSheetId="0">KL!#REF!</definedName>
    <definedName name="Outside" localSheetId="10" hidden="1">{#N/A,#N/A,TRUE,"Krycí list"}</definedName>
    <definedName name="Outside" localSheetId="11" hidden="1">{#N/A,#N/A,TRUE,"Krycí list"}</definedName>
    <definedName name="Outside" localSheetId="23" hidden="1">{#N/A,#N/A,TRUE,"Krycí list"}</definedName>
    <definedName name="Outside" localSheetId="24" hidden="1">{#N/A,#N/A,TRUE,"Krycí list"}</definedName>
    <definedName name="Outside" localSheetId="22" hidden="1">{#N/A,#N/A,TRUE,"Krycí list"}</definedName>
    <definedName name="Outside" localSheetId="25" hidden="1">{#N/A,#N/A,TRUE,"Krycí list"}</definedName>
    <definedName name="Outside" localSheetId="29" hidden="1">{#N/A,#N/A,TRUE,"Krycí list"}</definedName>
    <definedName name="Outside" localSheetId="27" hidden="1">{#N/A,#N/A,TRUE,"Krycí list"}</definedName>
    <definedName name="Outside" localSheetId="28"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9" hidden="1">{#N/A,#N/A,TRUE,"Krycí list"}</definedName>
    <definedName name="Outside" localSheetId="30" hidden="1">{#N/A,#N/A,TRUE,"Krycí list"}</definedName>
    <definedName name="Outside" localSheetId="31" hidden="1">{#N/A,#N/A,TRUE,"Krycí list"}</definedName>
    <definedName name="Outside" localSheetId="32"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42" hidden="1">{#N/A,#N/A,TRUE,"Krycí list"}</definedName>
    <definedName name="Outside" localSheetId="0" hidden="1">{#N/A,#N/A,TRUE,"Krycí list"}</definedName>
    <definedName name="Outside" localSheetId="18" hidden="1">{#N/A,#N/A,TRUE,"Krycí list"}</definedName>
    <definedName name="Outside" localSheetId="33" hidden="1">{#N/A,#N/A,TRUE,"Krycí list"}</definedName>
    <definedName name="Outside" localSheetId="43" hidden="1">{#N/A,#N/A,TRUE,"Krycí list"}</definedName>
    <definedName name="Outside" localSheetId="26" hidden="1">{#N/A,#N/A,TRUE,"Krycí list"}</definedName>
    <definedName name="Outside" localSheetId="21" hidden="1">{#N/A,#N/A,TRUE,"Krycí list"}</definedName>
    <definedName name="Outside" localSheetId="1" hidden="1">{#N/A,#N/A,TRUE,"Krycí list"}</definedName>
    <definedName name="Outside" hidden="1">{#N/A,#N/A,TRUE,"Krycí list"}</definedName>
    <definedName name="Pay_Date" localSheetId="10">#REF!</definedName>
    <definedName name="Pay_Date" localSheetId="11">#REF!</definedName>
    <definedName name="Pay_Date" localSheetId="23">#REF!</definedName>
    <definedName name="Pay_Date" localSheetId="24">#REF!</definedName>
    <definedName name="Pay_Date" localSheetId="22">#REF!</definedName>
    <definedName name="Pay_Date" localSheetId="25">#REF!</definedName>
    <definedName name="Pay_Date" localSheetId="29">#REF!</definedName>
    <definedName name="Pay_Date" localSheetId="27">#REF!</definedName>
    <definedName name="Pay_Date" localSheetId="28">#REF!</definedName>
    <definedName name="Pay_Date" localSheetId="12">#REF!</definedName>
    <definedName name="Pay_Date" localSheetId="13">#REF!</definedName>
    <definedName name="Pay_Date" localSheetId="14">#REF!</definedName>
    <definedName name="Pay_Date" localSheetId="19">#REF!</definedName>
    <definedName name="Pay_Date" localSheetId="30">#REF!</definedName>
    <definedName name="Pay_Date" localSheetId="31">#REF!</definedName>
    <definedName name="Pay_Date" localSheetId="32">#REF!</definedName>
    <definedName name="Pay_Date" localSheetId="36">#REF!</definedName>
    <definedName name="Pay_Date" localSheetId="35">#REF!</definedName>
    <definedName name="Pay_Date" localSheetId="34">#REF!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2">#REF!</definedName>
    <definedName name="Pay_Date" localSheetId="48">#REF!</definedName>
    <definedName name="Pay_Date" localSheetId="49">#REF!</definedName>
    <definedName name="Pay_Date" localSheetId="44">#REF!</definedName>
    <definedName name="Pay_Date" localSheetId="45">#REF!</definedName>
    <definedName name="Pay_Date" localSheetId="46">#REF!</definedName>
    <definedName name="Pay_Date" localSheetId="47">#REF!</definedName>
    <definedName name="Pay_Date" localSheetId="33">#REF!</definedName>
    <definedName name="Pay_Date" localSheetId="43">#REF!</definedName>
    <definedName name="Pay_Date" localSheetId="26">#REF!</definedName>
    <definedName name="Pay_Date" localSheetId="1">#REF!</definedName>
    <definedName name="Pay_Date">#REF!</definedName>
    <definedName name="Pay_Num" localSheetId="10">#REF!</definedName>
    <definedName name="Pay_Num" localSheetId="11">#REF!</definedName>
    <definedName name="Pay_Num" localSheetId="23">#REF!</definedName>
    <definedName name="Pay_Num" localSheetId="24">#REF!</definedName>
    <definedName name="Pay_Num" localSheetId="22">#REF!</definedName>
    <definedName name="Pay_Num" localSheetId="25">#REF!</definedName>
    <definedName name="Pay_Num" localSheetId="29">#REF!</definedName>
    <definedName name="Pay_Num" localSheetId="27">#REF!</definedName>
    <definedName name="Pay_Num" localSheetId="28">#REF!</definedName>
    <definedName name="Pay_Num" localSheetId="12">#REF!</definedName>
    <definedName name="Pay_Num" localSheetId="13">#REF!</definedName>
    <definedName name="Pay_Num" localSheetId="14">#REF!</definedName>
    <definedName name="Pay_Num" localSheetId="19">#REF!</definedName>
    <definedName name="Pay_Num" localSheetId="30">#REF!</definedName>
    <definedName name="Pay_Num" localSheetId="31">#REF!</definedName>
    <definedName name="Pay_Num" localSheetId="32">#REF!</definedName>
    <definedName name="Pay_Num" localSheetId="36">#REF!</definedName>
    <definedName name="Pay_Num" localSheetId="35">#REF!</definedName>
    <definedName name="Pay_Num" localSheetId="34">#REF!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2">#REF!</definedName>
    <definedName name="Pay_Num" localSheetId="48">#REF!</definedName>
    <definedName name="Pay_Num" localSheetId="49">#REF!</definedName>
    <definedName name="Pay_Num" localSheetId="44">#REF!</definedName>
    <definedName name="Pay_Num" localSheetId="45">#REF!</definedName>
    <definedName name="Pay_Num" localSheetId="46">#REF!</definedName>
    <definedName name="Pay_Num" localSheetId="47">#REF!</definedName>
    <definedName name="Pay_Num" localSheetId="33">#REF!</definedName>
    <definedName name="Pay_Num" localSheetId="43">#REF!</definedName>
    <definedName name="Pay_Num" localSheetId="1">#REF!</definedName>
    <definedName name="Pay_Num">#REF!</definedName>
    <definedName name="Payment_Date" localSheetId="10">DATE(YEAR('D.1.1.c.01. VÝPIS DVEŘÍ'!Loan_Start),MONTH('D.1.1.c.01. VÝPIS DVEŘÍ'!Loan_Start)+Payment_Number,DAY('D.1.1.c.01. VÝPIS DVEŘÍ'!Loan_Start))</definedName>
    <definedName name="Payment_Date" localSheetId="11">DATE(YEAR('D.1.4.1. ZTI'!Loan_Start),MONTH('D.1.4.1. ZTI'!Loan_Start)+Payment_Number,DAY('D.1.4.1. ZTI'!Loan_Start))</definedName>
    <definedName name="Payment_Date" localSheetId="23">DATE(YEAR('D.1.4.10.1. MOBILIÁŘ'!Loan_Start),MONTH('D.1.4.10.1. MOBILIÁŘ'!Loan_Start)+Payment_Number,DAY('D.1.4.10.1. MOBILIÁŘ'!Loan_Start))</definedName>
    <definedName name="Payment_Date" localSheetId="24">DATE(YEAR('D.1.4.10.1. OPLOCENÍ'!Loan_Start),MONTH('D.1.4.10.1. OPLOCENÍ'!Loan_Start)+Payment_Number,DAY('D.1.4.10.1. OPLOCENÍ'!Loan_Start))</definedName>
    <definedName name="Payment_Date" localSheetId="22">DATE(YEAR('D.1.4.10.1. SADOVÉ ÚPRAVY'!Loan_Start),MONTH('D.1.4.10.1. SADOVÉ ÚPRAVY'!Loan_Start)+Payment_Number,DAY('D.1.4.10.1. SADOVÉ ÚPRAVY'!Loan_Start))</definedName>
    <definedName name="Payment_Date" localSheetId="25">DATE(YEAR('D.1.4.10.2. ZP. PLOCHY A KOMUN.'!Loan_Start),MONTH('D.1.4.10.2. ZP. PLOCHY A KOMUN.'!Loan_Start)+Payment_Number,DAY('D.1.4.10.2. ZP. PLOCHY A KOMUN.'!Loan_Start))</definedName>
    <definedName name="Payment_Date" localSheetId="29">DATE(YEAR('D.1.4.10.3. DROBNÁ ARCH. - KOL.'!Loan_Start),MONTH('D.1.4.10.3. DROBNÁ ARCH. - KOL.'!Loan_Start)+Payment_Number,DAY('D.1.4.10.3. DROBNÁ ARCH. - KOL.'!Loan_Start))</definedName>
    <definedName name="Payment_Date" localSheetId="27">DATE(YEAR('D.1.4.10.3. DROBNÁ ARCH. - SKL.'!Loan_Start),MONTH('D.1.4.10.3. DROBNÁ ARCH. - SKL.'!Loan_Start)+Payment_Number,DAY('D.1.4.10.3. DROBNÁ ARCH. - SKL.'!Loan_Start))</definedName>
    <definedName name="Payment_Date" localSheetId="28">DATE(YEAR('D.1.4.10.3. DROBNÁ ARCH. - ZÁZ.'!Loan_Start),MONTH('D.1.4.10.3. DROBNÁ ARCH. - ZÁZ.'!Loan_Start)+Payment_Number,DAY('D.1.4.10.3. DROBNÁ ARCH. - ZÁZ.'!Loan_Start))</definedName>
    <definedName name="Payment_Date" localSheetId="12">DATE(YEAR('D.1.4.2. ODBĚR. PLYN. ZAŘÍZ.'!Loan_Start),MONTH('D.1.4.2. ODBĚR. PLYN. ZAŘÍZ.'!Loan_Start)+Payment_Number,DAY('D.1.4.2. ODBĚR. PLYN. ZAŘÍZ.'!Loan_Start))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9">DATE(YEAR('D.1.4.8. EL. KOMUNIKACE'!Loan_Start),MONTH('D.1.4.8. EL. KOMUNIKACE'!Loan_Start)+Payment_Number,DAY('D.1.4.8. EL. KOMUNIKACE'!Loan_Start))</definedName>
    <definedName name="Payment_Date" localSheetId="20">DATE(YEAR([0]!Loan_Start),MONTH([0]!Loan_Start)+Payment_Number,DAY([0]!Loan_Start))</definedName>
    <definedName name="Payment_Date" localSheetId="30">DATE(YEAR('D.2.1. PŘÍPOJKA VODOVODU'!Loan_Start),MONTH('D.2.1. PŘÍPOJKA VODOVODU'!Loan_Start)+Payment_Number,DAY('D.2.1. PŘÍPOJKA VODOVODU'!Loan_Start))</definedName>
    <definedName name="Payment_Date" localSheetId="31">DATE(YEAR('D.2.1.1. AREÁLOVÝ VODOVOD'!Loan_Start),MONTH('D.2.1.1. AREÁLOVÝ VODOVOD'!Loan_Start)+Payment_Number,DAY('D.2.1.1. AREÁLOVÝ VODOVOD'!Loan_Start))</definedName>
    <definedName name="Payment_Date" localSheetId="32">DATE(YEAR('D.2.2. PŘÍPOJKA KANALIZACE'!Loan_Start),MONTH('D.2.2. PŘÍPOJKA KANALIZACE'!Loan_Start)+Payment_Number,DAY('D.2.2. PŘÍPOJKA KANALIZACE'!Loan_Start))</definedName>
    <definedName name="Payment_Date" localSheetId="36">DATE(YEAR('D.2.3. AKUMULAČNÍ NÁDRŽ'!Loan_Start),MONTH('D.2.3. AKUMULAČNÍ NÁDRŽ'!Loan_Start)+Payment_Number,DAY('D.2.3. AKUMULAČNÍ NÁDRŽ'!Loan_Start))</definedName>
    <definedName name="Payment_Date" localSheetId="35">DATE(YEAR('D.2.3. AREÁL DEŠŤOVÁ KANAL.'!Loan_Start),MONTH('D.2.3. AREÁL DEŠŤOVÁ KANAL.'!Loan_Start)+Payment_Number,DAY('D.2.3. AREÁL DEŠŤOVÁ KANAL.'!Loan_Start))</definedName>
    <definedName name="Payment_Date" localSheetId="34">DATE(YEAR('D.2.3. AREÁL SPLAŠKOVÁ KANAL.'!Loan_Start),MONTH('D.2.3. AREÁL SPLAŠKOVÁ KANAL.'!Loan_Start)+Payment_Number,DAY('D.2.3. AREÁL SPLAŠKOVÁ KANAL.'!Loan_Start))</definedName>
    <definedName name="Payment_Date" localSheetId="37">DATE(YEAR('D.2.3. ČERPACÍ STANICE'!Loan_Start),MONTH('D.2.3. ČERPACÍ STANICE'!Loan_Start)+Payment_Number,DAY('D.2.3. ČERPACÍ STANICE'!Loan_Start))</definedName>
    <definedName name="Payment_Date" localSheetId="38">DATE(YEAR('D.2.3. VSAKOVACÍ NÁDRŽE'!Loan_Start),MONTH('D.2.3. VSAKOVACÍ NÁDRŽE'!Loan_Start)+Payment_Number,DAY('D.2.3. VSAKOVACÍ NÁDRŽE'!Loan_Start))</definedName>
    <definedName name="Payment_Date" localSheetId="39">DATE(YEAR('D.2.4. PŘELOŽKA STL PLYNOVODU'!Loan_Start),MONTH('D.2.4. PŘELOŽKA STL PLYNOVODU'!Loan_Start)+Payment_Number,DAY('D.2.4. PŘELOŽKA STL PLYNOVODU'!Loan_Start))</definedName>
    <definedName name="Payment_Date" localSheetId="40">DATE(YEAR('D.2.5. PŘÍPOJKA NN'!Loan_Start),MONTH('D.2.5. PŘÍPOJKA NN'!Loan_Start)+Payment_Number,DAY('D.2.5. PŘÍPOJKA NN'!Loan_Start))</definedName>
    <definedName name="Payment_Date" localSheetId="41">DATE(YEAR('D.2.6. PŘÍPOJKA EL. KOMUNIKACE'!Loan_Start),MONTH('D.2.6. PŘÍPOJKA EL. KOMUNIKACE'!Loan_Start)+Payment_Number,DAY('D.2.6. PŘÍPOJKA EL. KOMUNIKACE'!Loan_Start))</definedName>
    <definedName name="Payment_Date" localSheetId="42">DATE(YEAR('D.2.7. AREÁL OSVĚTLENÍ - TR. A1'!Loan_Start),MONTH('D.2.7. AREÁL OSVĚTLENÍ - TR. A1'!Loan_Start)+Payment_Number,DAY('D.2.7. AREÁL OSVĚTLENÍ - TR. A1'!Loan_Start))</definedName>
    <definedName name="Payment_Date" localSheetId="48">DATE(YEAR('D.2.8. AREÁL VEDENÍ NN-TR.  NN5'!Loan_Start),MONTH('D.2.8. AREÁL VEDENÍ NN-TR.  NN5'!Loan_Start)+Payment_Number,DAY('D.2.8. AREÁL VEDENÍ NN-TR.  NN5'!Loan_Start))</definedName>
    <definedName name="Payment_Date" localSheetId="49">DATE(YEAR('D.2.8. AREÁL VEDENÍ NN-TR.  NN6'!Loan_Start),MONTH('D.2.8. AREÁL VEDENÍ NN-TR.  NN6'!Loan_Start)+Payment_Number,DAY('D.2.8. AREÁL VEDENÍ NN-TR.  NN6'!Loan_Start))</definedName>
    <definedName name="Payment_Date" localSheetId="44">DATE(YEAR('D.2.8. AREÁL VEDENÍ NN-TR. NN1 '!Loan_Start),MONTH('D.2.8. AREÁL VEDENÍ NN-TR. NN1 '!Loan_Start)+Payment_Number,DAY('D.2.8. AREÁL VEDENÍ NN-TR. NN1 '!Loan_Start))</definedName>
    <definedName name="Payment_Date" localSheetId="45">DATE(YEAR('D.2.8. AREÁL VEDENÍ NN-TR. NN2'!Loan_Start),MONTH('D.2.8. AREÁL VEDENÍ NN-TR. NN2'!Loan_Start)+Payment_Number,DAY('D.2.8. AREÁL VEDENÍ NN-TR. NN2'!Loan_Start))</definedName>
    <definedName name="Payment_Date" localSheetId="46">DATE(YEAR('D.2.8. AREÁL VEDENÍ NN-TR. NN3'!Loan_Start),MONTH('D.2.8. AREÁL VEDENÍ NN-TR. NN3'!Loan_Start)+Payment_Number,DAY('D.2.8. AREÁL VEDENÍ NN-TR. NN3'!Loan_Start))</definedName>
    <definedName name="Payment_Date" localSheetId="47">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8">DATE(YEAR(Loan_Start),MONTH(Loan_Start)+Payment_Number,DAY(Loan_Start))</definedName>
    <definedName name="Payment_Date" localSheetId="33">DATE(YEAR('REKAPITULACE - AREÁL KAN'!Loan_Start),MONTH('REKAPITULACE - AREÁL KAN'!Loan_Start)+Payment_Number,DAY('REKAPITULACE - AREÁL KAN'!Loan_Start))</definedName>
    <definedName name="Payment_Date" localSheetId="43">DATE(YEAR('REKAPITULACE - AREÁL NN'!Loan_Start),MONTH('REKAPITULACE - AREÁL NN'!Loan_Start)+Payment_Number,DAY('REKAPITULACE - AREÁL NN'!Loan_Start))</definedName>
    <definedName name="Payment_Date" localSheetId="26">DATE(YEAR(Loan_Start),MONTH(Loan_Start)+Payment_Number,DAY(Loan_Start))</definedName>
    <definedName name="Payment_Date" localSheetId="21">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11">#REF!</definedName>
    <definedName name="PocetMJ" localSheetId="23">#REF!</definedName>
    <definedName name="PocetMJ" localSheetId="24">#REF!</definedName>
    <definedName name="PocetMJ" localSheetId="22">#REF!</definedName>
    <definedName name="PocetMJ" localSheetId="25">#REF!</definedName>
    <definedName name="PocetMJ" localSheetId="29">#REF!</definedName>
    <definedName name="PocetMJ" localSheetId="27">#REF!</definedName>
    <definedName name="PocetMJ" localSheetId="28">#REF!</definedName>
    <definedName name="PocetMJ" localSheetId="12">#REF!</definedName>
    <definedName name="PocetMJ" localSheetId="13">#REF!</definedName>
    <definedName name="PocetMJ" localSheetId="14">#REF!</definedName>
    <definedName name="PocetMJ" localSheetId="19">#REF!</definedName>
    <definedName name="PocetMJ" localSheetId="30">#REF!</definedName>
    <definedName name="PocetMJ" localSheetId="31">#REF!</definedName>
    <definedName name="PocetMJ" localSheetId="32">#REF!</definedName>
    <definedName name="PocetMJ" localSheetId="36">#REF!</definedName>
    <definedName name="PocetMJ" localSheetId="35">#REF!</definedName>
    <definedName name="PocetMJ" localSheetId="34">#REF!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2">#REF!</definedName>
    <definedName name="PocetMJ" localSheetId="48">#REF!</definedName>
    <definedName name="PocetMJ" localSheetId="49">#REF!</definedName>
    <definedName name="PocetMJ" localSheetId="44">#REF!</definedName>
    <definedName name="PocetMJ" localSheetId="45">#REF!</definedName>
    <definedName name="PocetMJ" localSheetId="46">#REF!</definedName>
    <definedName name="PocetMJ" localSheetId="47">#REF!</definedName>
    <definedName name="PocetMJ" localSheetId="0">#REF!</definedName>
    <definedName name="PocetMJ" localSheetId="18">#REF!</definedName>
    <definedName name="PocetMJ" localSheetId="33">#REF!</definedName>
    <definedName name="PocetMJ" localSheetId="43">#REF!</definedName>
    <definedName name="PocetMJ" localSheetId="26">#REF!</definedName>
    <definedName name="PocetMJ" localSheetId="21">#REF!</definedName>
    <definedName name="PocetMJ" localSheetId="1">#REF!</definedName>
    <definedName name="PocetMJ">#REF!</definedName>
    <definedName name="pokusAAAA" localSheetId="10">#REF!</definedName>
    <definedName name="pokusAAAA" localSheetId="11">#REF!</definedName>
    <definedName name="pokusAAAA" localSheetId="23">#REF!</definedName>
    <definedName name="pokusAAAA" localSheetId="24">#REF!</definedName>
    <definedName name="pokusAAAA" localSheetId="22">#REF!</definedName>
    <definedName name="pokusAAAA" localSheetId="25">#REF!</definedName>
    <definedName name="pokusAAAA" localSheetId="29">#REF!</definedName>
    <definedName name="pokusAAAA" localSheetId="27">#REF!</definedName>
    <definedName name="pokusAAAA" localSheetId="28">#REF!</definedName>
    <definedName name="pokusAAAA" localSheetId="12">#REF!</definedName>
    <definedName name="pokusAAAA" localSheetId="13">#REF!</definedName>
    <definedName name="pokusAAAA" localSheetId="14">#REF!</definedName>
    <definedName name="pokusAAAA" localSheetId="19">#REF!</definedName>
    <definedName name="pokusAAAA" localSheetId="30">#REF!</definedName>
    <definedName name="pokusAAAA" localSheetId="31">#REF!</definedName>
    <definedName name="pokusAAAA" localSheetId="32">#REF!</definedName>
    <definedName name="pokusAAAA" localSheetId="36">#REF!</definedName>
    <definedName name="pokusAAAA" localSheetId="35">#REF!</definedName>
    <definedName name="pokusAAAA" localSheetId="34">#REF!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2">#REF!</definedName>
    <definedName name="pokusAAAA" localSheetId="48">#REF!</definedName>
    <definedName name="pokusAAAA" localSheetId="49">#REF!</definedName>
    <definedName name="pokusAAAA" localSheetId="44">#REF!</definedName>
    <definedName name="pokusAAAA" localSheetId="45">#REF!</definedName>
    <definedName name="pokusAAAA" localSheetId="46">#REF!</definedName>
    <definedName name="pokusAAAA" localSheetId="47">#REF!</definedName>
    <definedName name="pokusAAAA" localSheetId="18">#REF!</definedName>
    <definedName name="pokusAAAA" localSheetId="33">#REF!</definedName>
    <definedName name="pokusAAAA" localSheetId="43">#REF!</definedName>
    <definedName name="pokusAAAA" localSheetId="26">#REF!</definedName>
    <definedName name="pokusAAAA" localSheetId="21">#REF!</definedName>
    <definedName name="pokusAAAA" localSheetId="1">#REF!</definedName>
    <definedName name="pokusAAAA">#REF!</definedName>
    <definedName name="pokusadres" localSheetId="10">#REF!</definedName>
    <definedName name="pokusadres" localSheetId="11">#REF!</definedName>
    <definedName name="pokusadres" localSheetId="23">#REF!</definedName>
    <definedName name="pokusadres" localSheetId="24">#REF!</definedName>
    <definedName name="pokusadres" localSheetId="22">#REF!</definedName>
    <definedName name="pokusadres" localSheetId="25">#REF!</definedName>
    <definedName name="pokusadres" localSheetId="29">#REF!</definedName>
    <definedName name="pokusadres" localSheetId="27">#REF!</definedName>
    <definedName name="pokusadres" localSheetId="28">#REF!</definedName>
    <definedName name="pokusadres" localSheetId="12">#REF!</definedName>
    <definedName name="pokusadres" localSheetId="13">#REF!</definedName>
    <definedName name="pokusadres" localSheetId="14">#REF!</definedName>
    <definedName name="pokusadres" localSheetId="19">#REF!</definedName>
    <definedName name="pokusadres" localSheetId="30">#REF!</definedName>
    <definedName name="pokusadres" localSheetId="31">#REF!</definedName>
    <definedName name="pokusadres" localSheetId="32">#REF!</definedName>
    <definedName name="pokusadres" localSheetId="36">#REF!</definedName>
    <definedName name="pokusadres" localSheetId="35">#REF!</definedName>
    <definedName name="pokusadres" localSheetId="34">#REF!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2">#REF!</definedName>
    <definedName name="pokusadres" localSheetId="48">#REF!</definedName>
    <definedName name="pokusadres" localSheetId="49">#REF!</definedName>
    <definedName name="pokusadres" localSheetId="44">#REF!</definedName>
    <definedName name="pokusadres" localSheetId="45">#REF!</definedName>
    <definedName name="pokusadres" localSheetId="46">#REF!</definedName>
    <definedName name="pokusadres" localSheetId="47">#REF!</definedName>
    <definedName name="pokusadres" localSheetId="18">#REF!</definedName>
    <definedName name="pokusadres" localSheetId="33">#REF!</definedName>
    <definedName name="pokusadres" localSheetId="43">#REF!</definedName>
    <definedName name="pokusadres" localSheetId="26">#REF!</definedName>
    <definedName name="pokusadres" localSheetId="21">#REF!</definedName>
    <definedName name="pokusadres" localSheetId="1">#REF!</definedName>
    <definedName name="pokusadres">#REF!</definedName>
    <definedName name="položka_A1" localSheetId="10">#REF!</definedName>
    <definedName name="položka_A1" localSheetId="11">#REF!</definedName>
    <definedName name="položka_A1" localSheetId="23">#REF!</definedName>
    <definedName name="položka_A1" localSheetId="24">#REF!</definedName>
    <definedName name="položka_A1" localSheetId="22">#REF!</definedName>
    <definedName name="položka_A1" localSheetId="25">#REF!</definedName>
    <definedName name="položka_A1" localSheetId="29">#REF!</definedName>
    <definedName name="položka_A1" localSheetId="27">#REF!</definedName>
    <definedName name="položka_A1" localSheetId="28">#REF!</definedName>
    <definedName name="položka_A1" localSheetId="12">#REF!</definedName>
    <definedName name="položka_A1" localSheetId="14">#REF!</definedName>
    <definedName name="položka_A1" localSheetId="19">#REF!</definedName>
    <definedName name="položka_A1" localSheetId="30">#REF!</definedName>
    <definedName name="položka_A1" localSheetId="31">#REF!</definedName>
    <definedName name="položka_A1" localSheetId="32">#REF!</definedName>
    <definedName name="položka_A1" localSheetId="36">#REF!</definedName>
    <definedName name="položka_A1" localSheetId="35">#REF!</definedName>
    <definedName name="položka_A1" localSheetId="34">#REF!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2">#REF!</definedName>
    <definedName name="položka_A1" localSheetId="48">#REF!</definedName>
    <definedName name="položka_A1" localSheetId="49">#REF!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33">#REF!</definedName>
    <definedName name="položka_A1" localSheetId="43">#REF!</definedName>
    <definedName name="položka_A1" localSheetId="1">#REF!</definedName>
    <definedName name="položka_A1">#REF!</definedName>
    <definedName name="položky" localSheetId="10">#REF!</definedName>
    <definedName name="položky" localSheetId="11">#REF!</definedName>
    <definedName name="položky" localSheetId="23">#REF!</definedName>
    <definedName name="položky" localSheetId="24">#REF!</definedName>
    <definedName name="položky" localSheetId="22">#REF!</definedName>
    <definedName name="položky" localSheetId="25">#REF!</definedName>
    <definedName name="položky" localSheetId="29">#REF!</definedName>
    <definedName name="položky" localSheetId="27">#REF!</definedName>
    <definedName name="položky" localSheetId="28">#REF!</definedName>
    <definedName name="položky" localSheetId="12">#REF!</definedName>
    <definedName name="položky" localSheetId="14">#REF!</definedName>
    <definedName name="položky" localSheetId="19">#REF!</definedName>
    <definedName name="položky" localSheetId="30">#REF!</definedName>
    <definedName name="položky" localSheetId="31">#REF!</definedName>
    <definedName name="položky" localSheetId="32">#REF!</definedName>
    <definedName name="položky" localSheetId="36">#REF!</definedName>
    <definedName name="položky" localSheetId="35">#REF!</definedName>
    <definedName name="položky" localSheetId="34">#REF!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2">#REF!</definedName>
    <definedName name="položky" localSheetId="48">#REF!</definedName>
    <definedName name="položky" localSheetId="49">#REF!</definedName>
    <definedName name="položky" localSheetId="44">#REF!</definedName>
    <definedName name="položky" localSheetId="45">#REF!</definedName>
    <definedName name="položky" localSheetId="46">#REF!</definedName>
    <definedName name="položky" localSheetId="47">#REF!</definedName>
    <definedName name="položky" localSheetId="33">#REF!</definedName>
    <definedName name="položky" localSheetId="43">#REF!</definedName>
    <definedName name="položky" localSheetId="1">#REF!</definedName>
    <definedName name="položky">#REF!</definedName>
    <definedName name="pom_výp_zač" localSheetId="10">#REF!</definedName>
    <definedName name="pom_výp_zač" localSheetId="11">#REF!</definedName>
    <definedName name="pom_výp_zač" localSheetId="23">#REF!</definedName>
    <definedName name="pom_výp_zač" localSheetId="24">#REF!</definedName>
    <definedName name="pom_výp_zač" localSheetId="22">#REF!</definedName>
    <definedName name="pom_výp_zač" localSheetId="25">#REF!</definedName>
    <definedName name="pom_výp_zač" localSheetId="29">#REF!</definedName>
    <definedName name="pom_výp_zač" localSheetId="27">#REF!</definedName>
    <definedName name="pom_výp_zač" localSheetId="28">#REF!</definedName>
    <definedName name="pom_výp_zač" localSheetId="12">#REF!</definedName>
    <definedName name="pom_výp_zač" localSheetId="14">#REF!</definedName>
    <definedName name="pom_výp_zač" localSheetId="19">#REF!</definedName>
    <definedName name="pom_výp_zač" localSheetId="30">#REF!</definedName>
    <definedName name="pom_výp_zač" localSheetId="31">#REF!</definedName>
    <definedName name="pom_výp_zač" localSheetId="32">#REF!</definedName>
    <definedName name="pom_výp_zač" localSheetId="36">#REF!</definedName>
    <definedName name="pom_výp_zač" localSheetId="35">#REF!</definedName>
    <definedName name="pom_výp_zač" localSheetId="34">#REF!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2">#REF!</definedName>
    <definedName name="pom_výp_zač" localSheetId="48">#REF!</definedName>
    <definedName name="pom_výp_zač" localSheetId="49">#REF!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33">#REF!</definedName>
    <definedName name="pom_výp_zač" localSheetId="43">#REF!</definedName>
    <definedName name="pom_výp_zač" localSheetId="1">#REF!</definedName>
    <definedName name="pom_výp_zač">#REF!</definedName>
    <definedName name="pom_výpočty" localSheetId="10">#REF!</definedName>
    <definedName name="pom_výpočty" localSheetId="11">#REF!</definedName>
    <definedName name="pom_výpočty" localSheetId="23">#REF!</definedName>
    <definedName name="pom_výpočty" localSheetId="24">#REF!</definedName>
    <definedName name="pom_výpočty" localSheetId="22">#REF!</definedName>
    <definedName name="pom_výpočty" localSheetId="25">#REF!</definedName>
    <definedName name="pom_výpočty" localSheetId="29">#REF!</definedName>
    <definedName name="pom_výpočty" localSheetId="27">#REF!</definedName>
    <definedName name="pom_výpočty" localSheetId="28">#REF!</definedName>
    <definedName name="pom_výpočty" localSheetId="12">#REF!</definedName>
    <definedName name="pom_výpočty" localSheetId="14">#REF!</definedName>
    <definedName name="pom_výpočty" localSheetId="19">#REF!</definedName>
    <definedName name="pom_výpočty" localSheetId="30">#REF!</definedName>
    <definedName name="pom_výpočty" localSheetId="31">#REF!</definedName>
    <definedName name="pom_výpočty" localSheetId="32">#REF!</definedName>
    <definedName name="pom_výpočty" localSheetId="36">#REF!</definedName>
    <definedName name="pom_výpočty" localSheetId="35">#REF!</definedName>
    <definedName name="pom_výpočty" localSheetId="34">#REF!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2">#REF!</definedName>
    <definedName name="pom_výpočty" localSheetId="48">#REF!</definedName>
    <definedName name="pom_výpočty" localSheetId="49">#REF!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33">#REF!</definedName>
    <definedName name="pom_výpočty" localSheetId="43">#REF!</definedName>
    <definedName name="pom_výpočty" localSheetId="1">#REF!</definedName>
    <definedName name="pom_výpočty">#REF!</definedName>
    <definedName name="powersock" localSheetId="10" hidden="1">{#N/A,#N/A,TRUE,"Krycí list"}</definedName>
    <definedName name="powersock" localSheetId="11" hidden="1">{#N/A,#N/A,TRUE,"Krycí list"}</definedName>
    <definedName name="powersock" localSheetId="23" hidden="1">{#N/A,#N/A,TRUE,"Krycí list"}</definedName>
    <definedName name="powersock" localSheetId="24" hidden="1">{#N/A,#N/A,TRUE,"Krycí list"}</definedName>
    <definedName name="powersock" localSheetId="22" hidden="1">{#N/A,#N/A,TRUE,"Krycí list"}</definedName>
    <definedName name="powersock" localSheetId="25" hidden="1">{#N/A,#N/A,TRUE,"Krycí list"}</definedName>
    <definedName name="powersock" localSheetId="29" hidden="1">{#N/A,#N/A,TRUE,"Krycí list"}</definedName>
    <definedName name="powersock" localSheetId="27" hidden="1">{#N/A,#N/A,TRUE,"Krycí list"}</definedName>
    <definedName name="powersock" localSheetId="28"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9" hidden="1">{#N/A,#N/A,TRUE,"Krycí list"}</definedName>
    <definedName name="powersock" localSheetId="30" hidden="1">{#N/A,#N/A,TRUE,"Krycí list"}</definedName>
    <definedName name="powersock" localSheetId="31" hidden="1">{#N/A,#N/A,TRUE,"Krycí list"}</definedName>
    <definedName name="powersock" localSheetId="32"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42" hidden="1">{#N/A,#N/A,TRUE,"Krycí list"}</definedName>
    <definedName name="powersock" localSheetId="0" hidden="1">{#N/A,#N/A,TRUE,"Krycí list"}</definedName>
    <definedName name="powersock" localSheetId="18" hidden="1">{#N/A,#N/A,TRUE,"Krycí list"}</definedName>
    <definedName name="powersock" localSheetId="33" hidden="1">{#N/A,#N/A,TRUE,"Krycí list"}</definedName>
    <definedName name="powersock" localSheetId="43" hidden="1">{#N/A,#N/A,TRUE,"Krycí list"}</definedName>
    <definedName name="powersock" localSheetId="26" hidden="1">{#N/A,#N/A,TRUE,"Krycí list"}</definedName>
    <definedName name="powersock" localSheetId="21"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11" hidden="1">{#N/A,#N/A,TRUE,"Krycí list"}</definedName>
    <definedName name="PowerSocket" localSheetId="23" hidden="1">{#N/A,#N/A,TRUE,"Krycí list"}</definedName>
    <definedName name="PowerSocket" localSheetId="24" hidden="1">{#N/A,#N/A,TRUE,"Krycí list"}</definedName>
    <definedName name="PowerSocket" localSheetId="22" hidden="1">{#N/A,#N/A,TRUE,"Krycí list"}</definedName>
    <definedName name="PowerSocket" localSheetId="25" hidden="1">{#N/A,#N/A,TRUE,"Krycí list"}</definedName>
    <definedName name="PowerSocket" localSheetId="29" hidden="1">{#N/A,#N/A,TRUE,"Krycí list"}</definedName>
    <definedName name="PowerSocket" localSheetId="27" hidden="1">{#N/A,#N/A,TRUE,"Krycí list"}</definedName>
    <definedName name="PowerSocket" localSheetId="28"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9" hidden="1">{#N/A,#N/A,TRUE,"Krycí list"}</definedName>
    <definedName name="PowerSocket" localSheetId="30" hidden="1">{#N/A,#N/A,TRUE,"Krycí list"}</definedName>
    <definedName name="PowerSocket" localSheetId="31" hidden="1">{#N/A,#N/A,TRUE,"Krycí list"}</definedName>
    <definedName name="PowerSocket" localSheetId="32"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42" hidden="1">{#N/A,#N/A,TRUE,"Krycí list"}</definedName>
    <definedName name="PowerSocket" localSheetId="0" hidden="1">{#N/A,#N/A,TRUE,"Krycí list"}</definedName>
    <definedName name="PowerSocket" localSheetId="18" hidden="1">{#N/A,#N/A,TRUE,"Krycí list"}</definedName>
    <definedName name="PowerSocket" localSheetId="33" hidden="1">{#N/A,#N/A,TRUE,"Krycí list"}</definedName>
    <definedName name="PowerSocket" localSheetId="43" hidden="1">{#N/A,#N/A,TRUE,"Krycí list"}</definedName>
    <definedName name="PowerSocket" localSheetId="26" hidden="1">{#N/A,#N/A,TRUE,"Krycí list"}</definedName>
    <definedName name="PowerSocket" localSheetId="21" hidden="1">{#N/A,#N/A,TRUE,"Krycí list"}</definedName>
    <definedName name="PowerSocket" localSheetId="1" hidden="1">{#N/A,#N/A,TRUE,"Krycí list"}</definedName>
    <definedName name="PowerSocket" hidden="1">{#N/A,#N/A,TRUE,"Krycí list"}</definedName>
    <definedName name="Poznamka" localSheetId="10">#REF!</definedName>
    <definedName name="Poznamka" localSheetId="11">#REF!</definedName>
    <definedName name="Poznamka" localSheetId="23">#REF!</definedName>
    <definedName name="Poznamka" localSheetId="24">#REF!</definedName>
    <definedName name="Poznamka" localSheetId="22">#REF!</definedName>
    <definedName name="Poznamka" localSheetId="25">#REF!</definedName>
    <definedName name="Poznamka" localSheetId="29">#REF!</definedName>
    <definedName name="Poznamka" localSheetId="27">#REF!</definedName>
    <definedName name="Poznamka" localSheetId="28">#REF!</definedName>
    <definedName name="Poznamka" localSheetId="12">#REF!</definedName>
    <definedName name="Poznamka" localSheetId="13">#REF!</definedName>
    <definedName name="Poznamka" localSheetId="14">#REF!</definedName>
    <definedName name="Poznamka" localSheetId="19">#REF!</definedName>
    <definedName name="Poznamka" localSheetId="30">#REF!</definedName>
    <definedName name="Poznamka" localSheetId="31">#REF!</definedName>
    <definedName name="Poznamka" localSheetId="32">#REF!</definedName>
    <definedName name="Poznamka" localSheetId="36">#REF!</definedName>
    <definedName name="Poznamka" localSheetId="35">#REF!</definedName>
    <definedName name="Poznamka" localSheetId="34">#REF!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2">#REF!</definedName>
    <definedName name="Poznamka" localSheetId="48">#REF!</definedName>
    <definedName name="Poznamka" localSheetId="49">#REF!</definedName>
    <definedName name="Poznamka" localSheetId="44">#REF!</definedName>
    <definedName name="Poznamka" localSheetId="45">#REF!</definedName>
    <definedName name="Poznamka" localSheetId="46">#REF!</definedName>
    <definedName name="Poznamka" localSheetId="47">#REF!</definedName>
    <definedName name="Poznamka" localSheetId="0">#REF!</definedName>
    <definedName name="Poznamka" localSheetId="18">#REF!</definedName>
    <definedName name="Poznamka" localSheetId="33">#REF!</definedName>
    <definedName name="Poznamka" localSheetId="43">#REF!</definedName>
    <definedName name="Poznamka" localSheetId="26">#REF!</definedName>
    <definedName name="Poznamka" localSheetId="21">#REF!</definedName>
    <definedName name="Poznamka" localSheetId="1">#REF!</definedName>
    <definedName name="Poznamka">#REF!</definedName>
    <definedName name="poznámka" localSheetId="10">#REF!</definedName>
    <definedName name="poznámka" localSheetId="11">#REF!</definedName>
    <definedName name="poznámka" localSheetId="23">#REF!</definedName>
    <definedName name="poznámka" localSheetId="24">#REF!</definedName>
    <definedName name="poznámka" localSheetId="22">#REF!</definedName>
    <definedName name="poznámka" localSheetId="25">#REF!</definedName>
    <definedName name="poznámka" localSheetId="29">#REF!</definedName>
    <definedName name="poznámka" localSheetId="27">#REF!</definedName>
    <definedName name="poznámka" localSheetId="28">#REF!</definedName>
    <definedName name="poznámka" localSheetId="12">#REF!</definedName>
    <definedName name="poznámka" localSheetId="13">#REF!</definedName>
    <definedName name="poznámka" localSheetId="14">#REF!</definedName>
    <definedName name="poznámka" localSheetId="19">#REF!</definedName>
    <definedName name="poznámka" localSheetId="30">#REF!</definedName>
    <definedName name="poznámka" localSheetId="31">#REF!</definedName>
    <definedName name="poznámka" localSheetId="32">#REF!</definedName>
    <definedName name="poznámka" localSheetId="36">#REF!</definedName>
    <definedName name="poznámka" localSheetId="35">#REF!</definedName>
    <definedName name="poznámka" localSheetId="34">#REF!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2">#REF!</definedName>
    <definedName name="poznámka" localSheetId="48">#REF!</definedName>
    <definedName name="poznámka" localSheetId="49">#REF!</definedName>
    <definedName name="poznámka" localSheetId="44">#REF!</definedName>
    <definedName name="poznámka" localSheetId="45">#REF!</definedName>
    <definedName name="poznámka" localSheetId="46">#REF!</definedName>
    <definedName name="poznámka" localSheetId="47">#REF!</definedName>
    <definedName name="poznámka" localSheetId="18">#REF!</definedName>
    <definedName name="poznámka" localSheetId="33">#REF!</definedName>
    <definedName name="poznámka" localSheetId="43">#REF!</definedName>
    <definedName name="poznámka" localSheetId="26">#REF!</definedName>
    <definedName name="poznámka" localSheetId="21">#REF!</definedName>
    <definedName name="poznámka" localSheetId="1">#REF!</definedName>
    <definedName name="poznámka">#REF!</definedName>
    <definedName name="prep_schem" localSheetId="10">#REF!</definedName>
    <definedName name="prep_schem" localSheetId="11">#REF!</definedName>
    <definedName name="prep_schem" localSheetId="23">#REF!</definedName>
    <definedName name="prep_schem" localSheetId="24">#REF!</definedName>
    <definedName name="prep_schem" localSheetId="22">#REF!</definedName>
    <definedName name="prep_schem" localSheetId="25">#REF!</definedName>
    <definedName name="prep_schem" localSheetId="29">#REF!</definedName>
    <definedName name="prep_schem" localSheetId="27">#REF!</definedName>
    <definedName name="prep_schem" localSheetId="28">#REF!</definedName>
    <definedName name="prep_schem" localSheetId="12">#REF!</definedName>
    <definedName name="prep_schem" localSheetId="13">#REF!</definedName>
    <definedName name="prep_schem" localSheetId="14">#REF!</definedName>
    <definedName name="prep_schem" localSheetId="19">#REF!</definedName>
    <definedName name="prep_schem" localSheetId="30">#REF!</definedName>
    <definedName name="prep_schem" localSheetId="31">#REF!</definedName>
    <definedName name="prep_schem" localSheetId="32">#REF!</definedName>
    <definedName name="prep_schem" localSheetId="36">#REF!</definedName>
    <definedName name="prep_schem" localSheetId="35">#REF!</definedName>
    <definedName name="prep_schem" localSheetId="34">#REF!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2">#REF!</definedName>
    <definedName name="prep_schem" localSheetId="48">#REF!</definedName>
    <definedName name="prep_schem" localSheetId="49">#REF!</definedName>
    <definedName name="prep_schem" localSheetId="44">#REF!</definedName>
    <definedName name="prep_schem" localSheetId="45">#REF!</definedName>
    <definedName name="prep_schem" localSheetId="46">#REF!</definedName>
    <definedName name="prep_schem" localSheetId="47">#REF!</definedName>
    <definedName name="prep_schem" localSheetId="18">#REF!</definedName>
    <definedName name="prep_schem" localSheetId="33">#REF!</definedName>
    <definedName name="prep_schem" localSheetId="43">#REF!</definedName>
    <definedName name="prep_schem" localSheetId="26">#REF!</definedName>
    <definedName name="prep_schem" localSheetId="21">#REF!</definedName>
    <definedName name="prep_schem" localSheetId="1">#REF!</definedName>
    <definedName name="prep_schem">#REF!</definedName>
    <definedName name="Princ" localSheetId="10">#REF!</definedName>
    <definedName name="Princ" localSheetId="11">#REF!</definedName>
    <definedName name="Princ" localSheetId="23">#REF!</definedName>
    <definedName name="Princ" localSheetId="24">#REF!</definedName>
    <definedName name="Princ" localSheetId="22">#REF!</definedName>
    <definedName name="Princ" localSheetId="25">#REF!</definedName>
    <definedName name="Princ" localSheetId="29">#REF!</definedName>
    <definedName name="Princ" localSheetId="27">#REF!</definedName>
    <definedName name="Princ" localSheetId="28">#REF!</definedName>
    <definedName name="Princ" localSheetId="12">#REF!</definedName>
    <definedName name="Princ" localSheetId="14">#REF!</definedName>
    <definedName name="Princ" localSheetId="19">#REF!</definedName>
    <definedName name="Princ" localSheetId="30">#REF!</definedName>
    <definedName name="Princ" localSheetId="31">#REF!</definedName>
    <definedName name="Princ" localSheetId="32">#REF!</definedName>
    <definedName name="Princ" localSheetId="36">#REF!</definedName>
    <definedName name="Princ" localSheetId="35">#REF!</definedName>
    <definedName name="Princ" localSheetId="34">#REF!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2">#REF!</definedName>
    <definedName name="Princ" localSheetId="48">#REF!</definedName>
    <definedName name="Princ" localSheetId="49">#REF!</definedName>
    <definedName name="Princ" localSheetId="44">#REF!</definedName>
    <definedName name="Princ" localSheetId="45">#REF!</definedName>
    <definedName name="Princ" localSheetId="46">#REF!</definedName>
    <definedName name="Princ" localSheetId="47">#REF!</definedName>
    <definedName name="Princ" localSheetId="33">#REF!</definedName>
    <definedName name="Princ" localSheetId="43">#REF!</definedName>
    <definedName name="Princ" localSheetId="1">#REF!</definedName>
    <definedName name="Princ">#REF!</definedName>
    <definedName name="Print_Area" localSheetId="30">'D.2.1. PŘÍPOJKA VODOVODU'!$A$1:$I$219</definedName>
    <definedName name="Print_Area" localSheetId="32">'D.2.2. PŘÍPOJKA KANALIZACE'!$A$1:$I$246</definedName>
    <definedName name="Print_Area" localSheetId="35">'D.2.3. AREÁL DEŠŤOVÁ KANAL.'!$A$1:$I$508</definedName>
    <definedName name="Print_Area" localSheetId="34">'D.2.3. AREÁL SPLAŠKOVÁ KANAL.'!$A$1:$I$467</definedName>
    <definedName name="Print_Area" localSheetId="0">KL!$A$1:$I$81</definedName>
    <definedName name="Print_Area" localSheetId="21">'REKAPITULACE - SÚ'!$A$1:$C$11</definedName>
    <definedName name="Print_Area_Reset" localSheetId="10">OFFSET('D.1.1.c.01. VÝPIS DVEŘÍ'!Full_Print,0,0,'D.1.1.c.01. VÝPIS DVEŘÍ'!Last_Row)</definedName>
    <definedName name="Print_Area_Reset" localSheetId="11">OFFSET('D.1.4.1. ZTI'!Full_Print,0,0,'D.1.4.1. ZTI'!Last_Row)</definedName>
    <definedName name="Print_Area_Reset" localSheetId="23">OFFSET('D.1.4.10.1. MOBILIÁŘ'!Full_Print,0,0,'D.1.4.10.1. MOBILIÁŘ'!Last_Row)</definedName>
    <definedName name="Print_Area_Reset" localSheetId="24">OFFSET('D.1.4.10.1. OPLOCENÍ'!Full_Print,0,0,'D.1.4.10.1. OPLOCENÍ'!Last_Row)</definedName>
    <definedName name="Print_Area_Reset" localSheetId="22">OFFSET('D.1.4.10.1. SADOVÉ ÚPRAVY'!Full_Print,0,0,'D.1.4.10.1. SADOVÉ ÚPRAVY'!Last_Row)</definedName>
    <definedName name="Print_Area_Reset" localSheetId="25">OFFSET('D.1.4.10.2. ZP. PLOCHY A KOMUN.'!Full_Print,0,0,'D.1.4.10.2. ZP. PLOCHY A KOMUN.'!Last_Row)</definedName>
    <definedName name="Print_Area_Reset" localSheetId="29">OFFSET('D.1.4.10.3. DROBNÁ ARCH. - KOL.'!Full_Print,0,0,'D.1.4.10.3. DROBNÁ ARCH. - KOL.'!Last_Row)</definedName>
    <definedName name="Print_Area_Reset" localSheetId="27">OFFSET('D.1.4.10.3. DROBNÁ ARCH. - SKL.'!Full_Print,0,0,'D.1.4.10.3. DROBNÁ ARCH. - SKL.'!Last_Row)</definedName>
    <definedName name="Print_Area_Reset" localSheetId="28">OFFSET('D.1.4.10.3. DROBNÁ ARCH. - ZÁZ.'!Full_Print,0,0,'D.1.4.10.3. DROBNÁ ARCH. - ZÁZ.'!Last_Row)</definedName>
    <definedName name="Print_Area_Reset" localSheetId="12">OFFSET('D.1.4.2. ODBĚR. PLYN. ZAŘÍZ.'!Full_Print,0,0,'D.1.4.2. ODBĚR. PLYN. ZAŘÍZ.'!Last_Row)</definedName>
    <definedName name="Print_Area_Reset" localSheetId="13">OFFSET(Full_Print,0,0,'D.1.4.3. VZDUCHOTECHNIKA'!Last_Row)</definedName>
    <definedName name="Print_Area_Reset" localSheetId="14">OFFSET('D.1.4.4. VYTÁPĚNÍ'!Full_Print,0,0,'D.1.4.4. VYTÁPĚNÍ'!Last_Row)</definedName>
    <definedName name="Print_Area_Reset" localSheetId="19">OFFSET('D.1.4.8. EL. KOMUNIKACE'!Full_Print,0,0,'D.1.4.8. EL. KOMUNIKACE'!Last_Row)</definedName>
    <definedName name="Print_Area_Reset" localSheetId="30">OFFSET('D.2.1. PŘÍPOJKA VODOVODU'!Full_Print,0,0,'D.2.1. PŘÍPOJKA VODOVODU'!Last_Row)</definedName>
    <definedName name="Print_Area_Reset" localSheetId="31">OFFSET('D.2.1.1. AREÁLOVÝ VODOVOD'!Full_Print,0,0,'D.2.1.1. AREÁLOVÝ VODOVOD'!Last_Row)</definedName>
    <definedName name="Print_Area_Reset" localSheetId="32">OFFSET('D.2.2. PŘÍPOJKA KANALIZACE'!Full_Print,0,0,'D.2.2. PŘÍPOJKA KANALIZACE'!Last_Row)</definedName>
    <definedName name="Print_Area_Reset" localSheetId="36">OFFSET('D.2.3. AKUMULAČNÍ NÁDRŽ'!Full_Print,0,0,'D.2.3. AKUMULAČNÍ NÁDRŽ'!Last_Row)</definedName>
    <definedName name="Print_Area_Reset" localSheetId="35">OFFSET('D.2.3. AREÁL DEŠŤOVÁ KANAL.'!Full_Print,0,0,'D.2.3. AREÁL DEŠŤOVÁ KANAL.'!Last_Row)</definedName>
    <definedName name="Print_Area_Reset" localSheetId="34">OFFSET('D.2.3. AREÁL SPLAŠKOVÁ KANAL.'!Full_Print,0,0,'D.2.3. AREÁL SPLAŠKOVÁ KANAL.'!Last_Row)</definedName>
    <definedName name="Print_Area_Reset" localSheetId="37">OFFSET('D.2.3. ČERPACÍ STANICE'!Full_Print,0,0,'D.2.3. ČERPACÍ STANICE'!Last_Row)</definedName>
    <definedName name="Print_Area_Reset" localSheetId="38">OFFSET('D.2.3. VSAKOVACÍ NÁDRŽE'!Full_Print,0,0,'D.2.3. VSAKOVACÍ NÁDRŽE'!Last_Row)</definedName>
    <definedName name="Print_Area_Reset" localSheetId="39">OFFSET('D.2.4. PŘELOŽKA STL PLYNOVODU'!Full_Print,0,0,'D.2.4. PŘELOŽKA STL PLYNOVODU'!Last_Row)</definedName>
    <definedName name="Print_Area_Reset" localSheetId="40">OFFSET('D.2.5. PŘÍPOJKA NN'!Full_Print,0,0,'D.2.5. PŘÍPOJKA NN'!Last_Row)</definedName>
    <definedName name="Print_Area_Reset" localSheetId="41">OFFSET('D.2.6. PŘÍPOJKA EL. KOMUNIKACE'!Full_Print,0,0,'D.2.6. PŘÍPOJKA EL. KOMUNIKACE'!Last_Row)</definedName>
    <definedName name="Print_Area_Reset" localSheetId="42">OFFSET('D.2.7. AREÁL OSVĚTLENÍ - TR. A1'!Full_Print,0,0,'D.2.7. AREÁL OSVĚTLENÍ - TR. A1'!Last_Row)</definedName>
    <definedName name="Print_Area_Reset" localSheetId="48">OFFSET('D.2.8. AREÁL VEDENÍ NN-TR.  NN5'!Full_Print,0,0,'D.2.8. AREÁL VEDENÍ NN-TR.  NN5'!Last_Row)</definedName>
    <definedName name="Print_Area_Reset" localSheetId="49">OFFSET('D.2.8. AREÁL VEDENÍ NN-TR.  NN6'!Full_Print,0,0,'D.2.8. AREÁL VEDENÍ NN-TR.  NN6'!Last_Row)</definedName>
    <definedName name="Print_Area_Reset" localSheetId="44">OFFSET('D.2.8. AREÁL VEDENÍ NN-TR. NN1 '!Full_Print,0,0,'D.2.8. AREÁL VEDENÍ NN-TR. NN1 '!Last_Row)</definedName>
    <definedName name="Print_Area_Reset" localSheetId="45">OFFSET('D.2.8. AREÁL VEDENÍ NN-TR. NN2'!Full_Print,0,0,'D.2.8. AREÁL VEDENÍ NN-TR. NN2'!Last_Row)</definedName>
    <definedName name="Print_Area_Reset" localSheetId="46">OFFSET('D.2.8. AREÁL VEDENÍ NN-TR. NN3'!Full_Print,0,0,'D.2.8. AREÁL VEDENÍ NN-TR. NN3'!Last_Row)</definedName>
    <definedName name="Print_Area_Reset" localSheetId="47">OFFSET('D.2.8. AREÁL VEDENÍ NN-TR. NN4'!Full_Print,0,0,'D.2.8. AREÁL VEDENÍ NN-TR. NN4'!Last_Row)</definedName>
    <definedName name="Print_Area_Reset" localSheetId="0">OFFSET(Full_Print,0,0,KL!Last_Row)</definedName>
    <definedName name="Print_Area_Reset" localSheetId="18">OFFSET(Full_Print,0,0,REKAPITULACE!Last_Row)</definedName>
    <definedName name="Print_Area_Reset" localSheetId="33">OFFSET('REKAPITULACE - AREÁL KAN'!Full_Print,0,0,'REKAPITULACE - AREÁL KAN'!Last_Row)</definedName>
    <definedName name="Print_Area_Reset" localSheetId="43">OFFSET('REKAPITULACE - AREÁL NN'!Full_Print,0,0,'REKAPITULACE - AREÁL NN'!Last_Row)</definedName>
    <definedName name="Print_Area_Reset" localSheetId="26">OFFSET(Full_Print,0,0,'REKAPITULACE - DA'!Last_Row)</definedName>
    <definedName name="Print_Area_Reset" localSheetId="21">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11">#REF!</definedName>
    <definedName name="Projektant" localSheetId="23">#REF!</definedName>
    <definedName name="Projektant" localSheetId="24">#REF!</definedName>
    <definedName name="Projektant" localSheetId="22">#REF!</definedName>
    <definedName name="Projektant" localSheetId="25">#REF!</definedName>
    <definedName name="Projektant" localSheetId="29">#REF!</definedName>
    <definedName name="Projektant" localSheetId="27">#REF!</definedName>
    <definedName name="Projektant" localSheetId="28">#REF!</definedName>
    <definedName name="Projektant" localSheetId="12">#REF!</definedName>
    <definedName name="Projektant" localSheetId="13">#REF!</definedName>
    <definedName name="Projektant" localSheetId="14">#REF!</definedName>
    <definedName name="Projektant" localSheetId="19">#REF!</definedName>
    <definedName name="Projektant" localSheetId="30">#REF!</definedName>
    <definedName name="Projektant" localSheetId="31">#REF!</definedName>
    <definedName name="Projektant" localSheetId="32">#REF!</definedName>
    <definedName name="Projektant" localSheetId="36">#REF!</definedName>
    <definedName name="Projektant" localSheetId="35">#REF!</definedName>
    <definedName name="Projektant" localSheetId="34">#REF!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2">#REF!</definedName>
    <definedName name="Projektant" localSheetId="48">#REF!</definedName>
    <definedName name="Projektant" localSheetId="49">#REF!</definedName>
    <definedName name="Projektant" localSheetId="44">#REF!</definedName>
    <definedName name="Projektant" localSheetId="45">#REF!</definedName>
    <definedName name="Projektant" localSheetId="46">#REF!</definedName>
    <definedName name="Projektant" localSheetId="47">#REF!</definedName>
    <definedName name="Projektant" localSheetId="0">#REF!</definedName>
    <definedName name="Projektant" localSheetId="18">#REF!</definedName>
    <definedName name="Projektant" localSheetId="33">#REF!</definedName>
    <definedName name="Projektant" localSheetId="43">#REF!</definedName>
    <definedName name="Projektant" localSheetId="26">#REF!</definedName>
    <definedName name="Projektant" localSheetId="21">#REF!</definedName>
    <definedName name="Projektant" localSheetId="1">#REF!</definedName>
    <definedName name="Projektant">#REF!</definedName>
    <definedName name="PSV" localSheetId="10">#REF!</definedName>
    <definedName name="PSV" localSheetId="11">#REF!</definedName>
    <definedName name="PSV" localSheetId="23">#REF!</definedName>
    <definedName name="PSV" localSheetId="24">#REF!</definedName>
    <definedName name="PSV" localSheetId="22">#REF!</definedName>
    <definedName name="PSV" localSheetId="25">#REF!</definedName>
    <definedName name="PSV" localSheetId="29">#REF!</definedName>
    <definedName name="PSV" localSheetId="27">#REF!</definedName>
    <definedName name="PSV" localSheetId="28">#REF!</definedName>
    <definedName name="PSV" localSheetId="12">#REF!</definedName>
    <definedName name="PSV" localSheetId="13">#REF!</definedName>
    <definedName name="PSV" localSheetId="14">#REF!</definedName>
    <definedName name="PSV" localSheetId="19">#REF!</definedName>
    <definedName name="PSV" localSheetId="30">#REF!</definedName>
    <definedName name="PSV" localSheetId="31">#REF!</definedName>
    <definedName name="PSV" localSheetId="32">#REF!</definedName>
    <definedName name="PSV" localSheetId="36">#REF!</definedName>
    <definedName name="PSV" localSheetId="35">#REF!</definedName>
    <definedName name="PSV" localSheetId="34">#REF!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2">#REF!</definedName>
    <definedName name="PSV" localSheetId="48">#REF!</definedName>
    <definedName name="PSV" localSheetId="49">#REF!</definedName>
    <definedName name="PSV" localSheetId="44">#REF!</definedName>
    <definedName name="PSV" localSheetId="45">#REF!</definedName>
    <definedName name="PSV" localSheetId="46">#REF!</definedName>
    <definedName name="PSV" localSheetId="47">#REF!</definedName>
    <definedName name="PSV" localSheetId="0">#REF!</definedName>
    <definedName name="PSV" localSheetId="18">#REF!</definedName>
    <definedName name="PSV" localSheetId="33">#REF!</definedName>
    <definedName name="PSV" localSheetId="43">#REF!</definedName>
    <definedName name="PSV" localSheetId="26">#REF!</definedName>
    <definedName name="PSV" localSheetId="21">#REF!</definedName>
    <definedName name="PSV" localSheetId="1">#REF!</definedName>
    <definedName name="PSV">#REF!</definedName>
    <definedName name="PSV0" localSheetId="10">#REF!</definedName>
    <definedName name="PSV0" localSheetId="11">#REF!</definedName>
    <definedName name="PSV0" localSheetId="23">#REF!</definedName>
    <definedName name="PSV0" localSheetId="24">#REF!</definedName>
    <definedName name="PSV0" localSheetId="22">#REF!</definedName>
    <definedName name="PSV0" localSheetId="25">#REF!</definedName>
    <definedName name="PSV0" localSheetId="29">#REF!</definedName>
    <definedName name="PSV0" localSheetId="27">#REF!</definedName>
    <definedName name="PSV0" localSheetId="28">#REF!</definedName>
    <definedName name="PSV0" localSheetId="12">#REF!</definedName>
    <definedName name="PSV0" localSheetId="13">#REF!</definedName>
    <definedName name="PSV0" localSheetId="14">#REF!</definedName>
    <definedName name="PSV0" localSheetId="19">#REF!</definedName>
    <definedName name="PSV0" localSheetId="30">#REF!</definedName>
    <definedName name="PSV0" localSheetId="31">#REF!</definedName>
    <definedName name="PSV0" localSheetId="32">#REF!</definedName>
    <definedName name="PSV0" localSheetId="36">#REF!</definedName>
    <definedName name="PSV0" localSheetId="35">#REF!</definedName>
    <definedName name="PSV0" localSheetId="34">#REF!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2">#REF!</definedName>
    <definedName name="PSV0" localSheetId="48">#REF!</definedName>
    <definedName name="PSV0" localSheetId="49">#REF!</definedName>
    <definedName name="PSV0" localSheetId="44">#REF!</definedName>
    <definedName name="PSV0" localSheetId="45">#REF!</definedName>
    <definedName name="PSV0" localSheetId="46">#REF!</definedName>
    <definedName name="PSV0" localSheetId="47">#REF!</definedName>
    <definedName name="PSV0" localSheetId="0">'[11]002-A.1. Archstav  reseni'!#REF!</definedName>
    <definedName name="PSV0" localSheetId="18">#REF!</definedName>
    <definedName name="PSV0" localSheetId="33">#REF!</definedName>
    <definedName name="PSV0" localSheetId="43">#REF!</definedName>
    <definedName name="PSV0" localSheetId="1">#REF!</definedName>
    <definedName name="PSV0">#REF!</definedName>
    <definedName name="QQ" localSheetId="10" hidden="1">{#N/A,#N/A,TRUE,"Krycí list"}</definedName>
    <definedName name="QQ" localSheetId="11" hidden="1">{#N/A,#N/A,TRUE,"Krycí list"}</definedName>
    <definedName name="QQ" localSheetId="23" hidden="1">{#N/A,#N/A,TRUE,"Krycí list"}</definedName>
    <definedName name="QQ" localSheetId="24" hidden="1">{#N/A,#N/A,TRUE,"Krycí list"}</definedName>
    <definedName name="QQ" localSheetId="22" hidden="1">{#N/A,#N/A,TRUE,"Krycí list"}</definedName>
    <definedName name="QQ" localSheetId="25" hidden="1">{#N/A,#N/A,TRUE,"Krycí list"}</definedName>
    <definedName name="QQ" localSheetId="29" hidden="1">{#N/A,#N/A,TRUE,"Krycí list"}</definedName>
    <definedName name="QQ" localSheetId="27" hidden="1">{#N/A,#N/A,TRUE,"Krycí list"}</definedName>
    <definedName name="QQ" localSheetId="28"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9" hidden="1">{#N/A,#N/A,TRUE,"Krycí list"}</definedName>
    <definedName name="QQ" localSheetId="30" hidden="1">{#N/A,#N/A,TRUE,"Krycí list"}</definedName>
    <definedName name="QQ" localSheetId="31" hidden="1">{#N/A,#N/A,TRUE,"Krycí list"}</definedName>
    <definedName name="QQ" localSheetId="32"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42" hidden="1">{#N/A,#N/A,TRUE,"Krycí list"}</definedName>
    <definedName name="QQ" localSheetId="0" hidden="1">{#N/A,#N/A,TRUE,"Krycí list"}</definedName>
    <definedName name="QQ" localSheetId="18" hidden="1">{#N/A,#N/A,TRUE,"Krycí list"}</definedName>
    <definedName name="QQ" localSheetId="33" hidden="1">{#N/A,#N/A,TRUE,"Krycí list"}</definedName>
    <definedName name="QQ" localSheetId="43" hidden="1">{#N/A,#N/A,TRUE,"Krycí list"}</definedName>
    <definedName name="QQ" localSheetId="26" hidden="1">{#N/A,#N/A,TRUE,"Krycí list"}</definedName>
    <definedName name="QQ" localSheetId="21" hidden="1">{#N/A,#N/A,TRUE,"Krycí list"}</definedName>
    <definedName name="QQ" localSheetId="1" hidden="1">{#N/A,#N/A,TRUE,"Krycí list"}</definedName>
    <definedName name="QQ" hidden="1">{#N/A,#N/A,TRUE,"Krycí list"}</definedName>
    <definedName name="QQQ" localSheetId="10" hidden="1">{#N/A,#N/A,TRUE,"Krycí list"}</definedName>
    <definedName name="QQQ" localSheetId="11" hidden="1">{#N/A,#N/A,TRUE,"Krycí list"}</definedName>
    <definedName name="QQQ" localSheetId="23" hidden="1">{#N/A,#N/A,TRUE,"Krycí list"}</definedName>
    <definedName name="QQQ" localSheetId="24" hidden="1">{#N/A,#N/A,TRUE,"Krycí list"}</definedName>
    <definedName name="QQQ" localSheetId="22" hidden="1">{#N/A,#N/A,TRUE,"Krycí list"}</definedName>
    <definedName name="QQQ" localSheetId="25" hidden="1">{#N/A,#N/A,TRUE,"Krycí list"}</definedName>
    <definedName name="QQQ" localSheetId="29" hidden="1">{#N/A,#N/A,TRUE,"Krycí list"}</definedName>
    <definedName name="QQQ" localSheetId="27" hidden="1">{#N/A,#N/A,TRUE,"Krycí list"}</definedName>
    <definedName name="QQQ" localSheetId="28"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9" hidden="1">{#N/A,#N/A,TRUE,"Krycí list"}</definedName>
    <definedName name="QQQ" localSheetId="30" hidden="1">{#N/A,#N/A,TRUE,"Krycí list"}</definedName>
    <definedName name="QQQ" localSheetId="31" hidden="1">{#N/A,#N/A,TRUE,"Krycí list"}</definedName>
    <definedName name="QQQ" localSheetId="32"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42" hidden="1">{#N/A,#N/A,TRUE,"Krycí list"}</definedName>
    <definedName name="QQQ" localSheetId="0" hidden="1">{#N/A,#N/A,TRUE,"Krycí list"}</definedName>
    <definedName name="QQQ" localSheetId="18" hidden="1">{#N/A,#N/A,TRUE,"Krycí list"}</definedName>
    <definedName name="QQQ" localSheetId="33" hidden="1">{#N/A,#N/A,TRUE,"Krycí list"}</definedName>
    <definedName name="QQQ" localSheetId="43" hidden="1">{#N/A,#N/A,TRUE,"Krycí list"}</definedName>
    <definedName name="QQQ" localSheetId="26" hidden="1">{#N/A,#N/A,TRUE,"Krycí list"}</definedName>
    <definedName name="QQQ" localSheetId="21" hidden="1">{#N/A,#N/A,TRUE,"Krycí list"}</definedName>
    <definedName name="QQQ" localSheetId="1" hidden="1">{#N/A,#N/A,TRUE,"Krycí list"}</definedName>
    <definedName name="QQQ" hidden="1">{#N/A,#N/A,TRUE,"Krycí list"}</definedName>
    <definedName name="rekapitulace" localSheetId="10">#REF!</definedName>
    <definedName name="rekapitulace" localSheetId="11">#REF!</definedName>
    <definedName name="rekapitulace" localSheetId="23">#REF!</definedName>
    <definedName name="rekapitulace" localSheetId="24">#REF!</definedName>
    <definedName name="rekapitulace" localSheetId="22">#REF!</definedName>
    <definedName name="rekapitulace" localSheetId="25">#REF!</definedName>
    <definedName name="rekapitulace" localSheetId="29">#REF!</definedName>
    <definedName name="rekapitulace" localSheetId="27">#REF!</definedName>
    <definedName name="rekapitulace" localSheetId="28">#REF!</definedName>
    <definedName name="rekapitulace" localSheetId="12">#REF!</definedName>
    <definedName name="rekapitulace" localSheetId="13">#REF!</definedName>
    <definedName name="rekapitulace" localSheetId="14">#REF!</definedName>
    <definedName name="rekapitulace" localSheetId="19">#REF!</definedName>
    <definedName name="rekapitulace" localSheetId="30">#REF!</definedName>
    <definedName name="rekapitulace" localSheetId="31">#REF!</definedName>
    <definedName name="rekapitulace" localSheetId="32">#REF!</definedName>
    <definedName name="rekapitulace" localSheetId="36">#REF!</definedName>
    <definedName name="rekapitulace" localSheetId="35">#REF!</definedName>
    <definedName name="rekapitulace" localSheetId="34">#REF!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2">#REF!</definedName>
    <definedName name="rekapitulace" localSheetId="48">#REF!</definedName>
    <definedName name="rekapitulace" localSheetId="49">#REF!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18">#REF!</definedName>
    <definedName name="rekapitulace" localSheetId="33">#REF!</definedName>
    <definedName name="rekapitulace" localSheetId="43">#REF!</definedName>
    <definedName name="rekapitulace" localSheetId="26">#REF!</definedName>
    <definedName name="rekapitulace" localSheetId="21">#REF!</definedName>
    <definedName name="rekapitulace" localSheetId="1">#REF!</definedName>
    <definedName name="rekapitulace">#REF!</definedName>
    <definedName name="rozp" localSheetId="10" hidden="1">{#N/A,#N/A,TRUE,"Krycí list"}</definedName>
    <definedName name="rozp" localSheetId="11" hidden="1">{#N/A,#N/A,TRUE,"Krycí list"}</definedName>
    <definedName name="rozp" localSheetId="23" hidden="1">{#N/A,#N/A,TRUE,"Krycí list"}</definedName>
    <definedName name="rozp" localSheetId="24" hidden="1">{#N/A,#N/A,TRUE,"Krycí list"}</definedName>
    <definedName name="rozp" localSheetId="22" hidden="1">{#N/A,#N/A,TRUE,"Krycí list"}</definedName>
    <definedName name="rozp" localSheetId="25" hidden="1">{#N/A,#N/A,TRUE,"Krycí list"}</definedName>
    <definedName name="rozp" localSheetId="29" hidden="1">{#N/A,#N/A,TRUE,"Krycí list"}</definedName>
    <definedName name="rozp" localSheetId="27" hidden="1">{#N/A,#N/A,TRUE,"Krycí list"}</definedName>
    <definedName name="rozp" localSheetId="28"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9" hidden="1">{#N/A,#N/A,TRUE,"Krycí list"}</definedName>
    <definedName name="rozp" localSheetId="30" hidden="1">{#N/A,#N/A,TRUE,"Krycí list"}</definedName>
    <definedName name="rozp" localSheetId="31" hidden="1">{#N/A,#N/A,TRUE,"Krycí list"}</definedName>
    <definedName name="rozp" localSheetId="32"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42" hidden="1">{#N/A,#N/A,TRUE,"Krycí list"}</definedName>
    <definedName name="rozp" localSheetId="0" hidden="1">{#N/A,#N/A,TRUE,"Krycí list"}</definedName>
    <definedName name="rozp" localSheetId="18" hidden="1">{#N/A,#N/A,TRUE,"Krycí list"}</definedName>
    <definedName name="rozp" localSheetId="33" hidden="1">{#N/A,#N/A,TRUE,"Krycí list"}</definedName>
    <definedName name="rozp" localSheetId="43" hidden="1">{#N/A,#N/A,TRUE,"Krycí list"}</definedName>
    <definedName name="rozp" localSheetId="26" hidden="1">{#N/A,#N/A,TRUE,"Krycí list"}</definedName>
    <definedName name="rozp" localSheetId="21" hidden="1">{#N/A,#N/A,TRUE,"Krycí list"}</definedName>
    <definedName name="rozp" localSheetId="1" hidden="1">{#N/A,#N/A,TRUE,"Krycí list"}</definedName>
    <definedName name="rozp" hidden="1">{#N/A,#N/A,TRUE,"Krycí list"}</definedName>
    <definedName name="rozvržení_rozp" localSheetId="10">#REF!</definedName>
    <definedName name="rozvržení_rozp" localSheetId="11">#REF!</definedName>
    <definedName name="rozvržení_rozp" localSheetId="23">#REF!</definedName>
    <definedName name="rozvržení_rozp" localSheetId="24">#REF!</definedName>
    <definedName name="rozvržení_rozp" localSheetId="22">#REF!</definedName>
    <definedName name="rozvržení_rozp" localSheetId="25">#REF!</definedName>
    <definedName name="rozvržení_rozp" localSheetId="29">#REF!</definedName>
    <definedName name="rozvržení_rozp" localSheetId="27">#REF!</definedName>
    <definedName name="rozvržení_rozp" localSheetId="28">#REF!</definedName>
    <definedName name="rozvržení_rozp" localSheetId="12">#REF!</definedName>
    <definedName name="rozvržení_rozp" localSheetId="13">#REF!</definedName>
    <definedName name="rozvržení_rozp" localSheetId="14">#REF!</definedName>
    <definedName name="rozvržení_rozp" localSheetId="19">#REF!</definedName>
    <definedName name="rozvržení_rozp" localSheetId="30">#REF!</definedName>
    <definedName name="rozvržení_rozp" localSheetId="31">#REF!</definedName>
    <definedName name="rozvržení_rozp" localSheetId="32">#REF!</definedName>
    <definedName name="rozvržení_rozp" localSheetId="36">#REF!</definedName>
    <definedName name="rozvržení_rozp" localSheetId="35">#REF!</definedName>
    <definedName name="rozvržení_rozp" localSheetId="34">#REF!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2">#REF!</definedName>
    <definedName name="rozvržení_rozp" localSheetId="48">#REF!</definedName>
    <definedName name="rozvržení_rozp" localSheetId="49">#REF!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18">#REF!</definedName>
    <definedName name="rozvržení_rozp" localSheetId="33">#REF!</definedName>
    <definedName name="rozvržení_rozp" localSheetId="43">#REF!</definedName>
    <definedName name="rozvržení_rozp" localSheetId="26">#REF!</definedName>
    <definedName name="rozvržení_rozp" localSheetId="21">#REF!</definedName>
    <definedName name="rozvržení_rozp" localSheetId="1">#REF!</definedName>
    <definedName name="rozvržení_rozp">#REF!</definedName>
    <definedName name="saboproud" localSheetId="10" hidden="1">{#N/A,#N/A,TRUE,"Krycí list"}</definedName>
    <definedName name="saboproud" localSheetId="11" hidden="1">{#N/A,#N/A,TRUE,"Krycí list"}</definedName>
    <definedName name="saboproud" localSheetId="23" hidden="1">{#N/A,#N/A,TRUE,"Krycí list"}</definedName>
    <definedName name="saboproud" localSheetId="24" hidden="1">{#N/A,#N/A,TRUE,"Krycí list"}</definedName>
    <definedName name="saboproud" localSheetId="22" hidden="1">{#N/A,#N/A,TRUE,"Krycí list"}</definedName>
    <definedName name="saboproud" localSheetId="25" hidden="1">{#N/A,#N/A,TRUE,"Krycí list"}</definedName>
    <definedName name="saboproud" localSheetId="29" hidden="1">{#N/A,#N/A,TRUE,"Krycí list"}</definedName>
    <definedName name="saboproud" localSheetId="27" hidden="1">{#N/A,#N/A,TRUE,"Krycí list"}</definedName>
    <definedName name="saboproud" localSheetId="28"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9" hidden="1">{#N/A,#N/A,TRUE,"Krycí list"}</definedName>
    <definedName name="saboproud" localSheetId="30" hidden="1">{#N/A,#N/A,TRUE,"Krycí list"}</definedName>
    <definedName name="saboproud" localSheetId="31" hidden="1">{#N/A,#N/A,TRUE,"Krycí list"}</definedName>
    <definedName name="saboproud" localSheetId="32"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42" hidden="1">{#N/A,#N/A,TRUE,"Krycí list"}</definedName>
    <definedName name="saboproud" localSheetId="0" hidden="1">{#N/A,#N/A,TRUE,"Krycí list"}</definedName>
    <definedName name="saboproud" localSheetId="18" hidden="1">{#N/A,#N/A,TRUE,"Krycí list"}</definedName>
    <definedName name="saboproud" localSheetId="33" hidden="1">{#N/A,#N/A,TRUE,"Krycí list"}</definedName>
    <definedName name="saboproud" localSheetId="43" hidden="1">{#N/A,#N/A,TRUE,"Krycí list"}</definedName>
    <definedName name="saboproud" localSheetId="26" hidden="1">{#N/A,#N/A,TRUE,"Krycí list"}</definedName>
    <definedName name="saboproud" localSheetId="21" hidden="1">{#N/A,#N/A,TRUE,"Krycí list"}</definedName>
    <definedName name="saboproud" localSheetId="1" hidden="1">{#N/A,#N/A,TRUE,"Krycí list"}</definedName>
    <definedName name="saboproud" hidden="1">{#N/A,#N/A,TRUE,"Krycí list"}</definedName>
    <definedName name="SazbaDPH1" localSheetId="10">#REF!</definedName>
    <definedName name="SazbaDPH1" localSheetId="11">#REF!</definedName>
    <definedName name="SazbaDPH1" localSheetId="23">#REF!</definedName>
    <definedName name="SazbaDPH1" localSheetId="24">#REF!</definedName>
    <definedName name="SazbaDPH1" localSheetId="22">#REF!</definedName>
    <definedName name="SazbaDPH1" localSheetId="25">#REF!</definedName>
    <definedName name="SazbaDPH1" localSheetId="29">#REF!</definedName>
    <definedName name="SazbaDPH1" localSheetId="27">#REF!</definedName>
    <definedName name="SazbaDPH1" localSheetId="28">#REF!</definedName>
    <definedName name="SazbaDPH1" localSheetId="12">#REF!</definedName>
    <definedName name="SazbaDPH1" localSheetId="13">#REF!</definedName>
    <definedName name="SazbaDPH1" localSheetId="14">#REF!</definedName>
    <definedName name="SazbaDPH1" localSheetId="19">#REF!</definedName>
    <definedName name="SazbaDPH1" localSheetId="30">#REF!</definedName>
    <definedName name="SazbaDPH1" localSheetId="31">#REF!</definedName>
    <definedName name="SazbaDPH1" localSheetId="32">#REF!</definedName>
    <definedName name="SazbaDPH1" localSheetId="36">#REF!</definedName>
    <definedName name="SazbaDPH1" localSheetId="35">#REF!</definedName>
    <definedName name="SazbaDPH1" localSheetId="34">#REF!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2">#REF!</definedName>
    <definedName name="SazbaDPH1" localSheetId="48">#REF!</definedName>
    <definedName name="SazbaDPH1" localSheetId="49">#REF!</definedName>
    <definedName name="SazbaDPH1" localSheetId="44">#REF!</definedName>
    <definedName name="SazbaDPH1" localSheetId="45">#REF!</definedName>
    <definedName name="SazbaDPH1" localSheetId="46">#REF!</definedName>
    <definedName name="SazbaDPH1" localSheetId="47">#REF!</definedName>
    <definedName name="SazbaDPH1" localSheetId="0">KL!$D$21</definedName>
    <definedName name="SazbaDPH1" localSheetId="18">#REF!</definedName>
    <definedName name="SazbaDPH1" localSheetId="33">#REF!</definedName>
    <definedName name="SazbaDPH1" localSheetId="43">#REF!</definedName>
    <definedName name="SazbaDPH1" localSheetId="26">#REF!</definedName>
    <definedName name="SazbaDPH1" localSheetId="21">#REF!</definedName>
    <definedName name="SazbaDPH1" localSheetId="1">#REF!</definedName>
    <definedName name="SazbaDPH1">#REF!</definedName>
    <definedName name="SazbaDPH2" localSheetId="10">#REF!</definedName>
    <definedName name="SazbaDPH2" localSheetId="11">#REF!</definedName>
    <definedName name="SazbaDPH2" localSheetId="23">#REF!</definedName>
    <definedName name="SazbaDPH2" localSheetId="24">#REF!</definedName>
    <definedName name="SazbaDPH2" localSheetId="22">#REF!</definedName>
    <definedName name="SazbaDPH2" localSheetId="25">#REF!</definedName>
    <definedName name="SazbaDPH2" localSheetId="29">#REF!</definedName>
    <definedName name="SazbaDPH2" localSheetId="27">#REF!</definedName>
    <definedName name="SazbaDPH2" localSheetId="28">#REF!</definedName>
    <definedName name="SazbaDPH2" localSheetId="12">#REF!</definedName>
    <definedName name="SazbaDPH2" localSheetId="13">#REF!</definedName>
    <definedName name="SazbaDPH2" localSheetId="14">#REF!</definedName>
    <definedName name="SazbaDPH2" localSheetId="19">#REF!</definedName>
    <definedName name="SazbaDPH2" localSheetId="30">#REF!</definedName>
    <definedName name="SazbaDPH2" localSheetId="31">#REF!</definedName>
    <definedName name="SazbaDPH2" localSheetId="32">#REF!</definedName>
    <definedName name="SazbaDPH2" localSheetId="36">#REF!</definedName>
    <definedName name="SazbaDPH2" localSheetId="35">#REF!</definedName>
    <definedName name="SazbaDPH2" localSheetId="34">#REF!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2">#REF!</definedName>
    <definedName name="SazbaDPH2" localSheetId="48">#REF!</definedName>
    <definedName name="SazbaDPH2" localSheetId="49">#REF!</definedName>
    <definedName name="SazbaDPH2" localSheetId="44">#REF!</definedName>
    <definedName name="SazbaDPH2" localSheetId="45">#REF!</definedName>
    <definedName name="SazbaDPH2" localSheetId="46">#REF!</definedName>
    <definedName name="SazbaDPH2" localSheetId="47">#REF!</definedName>
    <definedName name="SazbaDPH2" localSheetId="0">KL!$D$24</definedName>
    <definedName name="SazbaDPH2" localSheetId="18">#REF!</definedName>
    <definedName name="SazbaDPH2" localSheetId="33">#REF!</definedName>
    <definedName name="SazbaDPH2" localSheetId="43">#REF!</definedName>
    <definedName name="SazbaDPH2" localSheetId="26">#REF!</definedName>
    <definedName name="SazbaDPH2" localSheetId="21">#REF!</definedName>
    <definedName name="SazbaDPH2" localSheetId="1">#REF!</definedName>
    <definedName name="SazbaDPH2">#REF!</definedName>
    <definedName name="Sched_Pay" localSheetId="10">#REF!</definedName>
    <definedName name="Sched_Pay" localSheetId="11">#REF!</definedName>
    <definedName name="Sched_Pay" localSheetId="23">#REF!</definedName>
    <definedName name="Sched_Pay" localSheetId="24">#REF!</definedName>
    <definedName name="Sched_Pay" localSheetId="22">#REF!</definedName>
    <definedName name="Sched_Pay" localSheetId="25">#REF!</definedName>
    <definedName name="Sched_Pay" localSheetId="29">#REF!</definedName>
    <definedName name="Sched_Pay" localSheetId="27">#REF!</definedName>
    <definedName name="Sched_Pay" localSheetId="28">#REF!</definedName>
    <definedName name="Sched_Pay" localSheetId="12">#REF!</definedName>
    <definedName name="Sched_Pay" localSheetId="13">#REF!</definedName>
    <definedName name="Sched_Pay" localSheetId="14">#REF!</definedName>
    <definedName name="Sched_Pay" localSheetId="19">#REF!</definedName>
    <definedName name="Sched_Pay" localSheetId="30">#REF!</definedName>
    <definedName name="Sched_Pay" localSheetId="31">#REF!</definedName>
    <definedName name="Sched_Pay" localSheetId="32">#REF!</definedName>
    <definedName name="Sched_Pay" localSheetId="36">#REF!</definedName>
    <definedName name="Sched_Pay" localSheetId="35">#REF!</definedName>
    <definedName name="Sched_Pay" localSheetId="34">#REF!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2">#REF!</definedName>
    <definedName name="Sched_Pay" localSheetId="48">#REF!</definedName>
    <definedName name="Sched_Pay" localSheetId="49">#REF!</definedName>
    <definedName name="Sched_Pay" localSheetId="44">#REF!</definedName>
    <definedName name="Sched_Pay" localSheetId="45">#REF!</definedName>
    <definedName name="Sched_Pay" localSheetId="46">#REF!</definedName>
    <definedName name="Sched_Pay" localSheetId="47">#REF!</definedName>
    <definedName name="Sched_Pay" localSheetId="18">#REF!</definedName>
    <definedName name="Sched_Pay" localSheetId="33">#REF!</definedName>
    <definedName name="Sched_Pay" localSheetId="43">#REF!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23">#REF!</definedName>
    <definedName name="Scheduled_Extra_Payments" localSheetId="24">#REF!</definedName>
    <definedName name="Scheduled_Extra_Payments" localSheetId="22">#REF!</definedName>
    <definedName name="Scheduled_Extra_Payments" localSheetId="25">#REF!</definedName>
    <definedName name="Scheduled_Extra_Payments" localSheetId="29">#REF!</definedName>
    <definedName name="Scheduled_Extra_Payments" localSheetId="27">#REF!</definedName>
    <definedName name="Scheduled_Extra_Payments" localSheetId="28">#REF!</definedName>
    <definedName name="Scheduled_Extra_Payments" localSheetId="12">#REF!</definedName>
    <definedName name="Scheduled_Extra_Payments" localSheetId="14">#REF!</definedName>
    <definedName name="Scheduled_Extra_Payments" localSheetId="19">#REF!</definedName>
    <definedName name="Scheduled_Extra_Payments" localSheetId="30">#REF!</definedName>
    <definedName name="Scheduled_Extra_Payments" localSheetId="31">#REF!</definedName>
    <definedName name="Scheduled_Extra_Payments" localSheetId="32">#REF!</definedName>
    <definedName name="Scheduled_Extra_Payments" localSheetId="36">#REF!</definedName>
    <definedName name="Scheduled_Extra_Payments" localSheetId="35">#REF!</definedName>
    <definedName name="Scheduled_Extra_Payments" localSheetId="34">#REF!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2">#REF!</definedName>
    <definedName name="Scheduled_Extra_Payments" localSheetId="48">#REF!</definedName>
    <definedName name="Scheduled_Extra_Payments" localSheetId="49">#REF!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33">#REF!</definedName>
    <definedName name="Scheduled_Extra_Payments" localSheetId="43">#REF!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23">#REF!</definedName>
    <definedName name="Scheduled_Interest_Rate" localSheetId="24">#REF!</definedName>
    <definedName name="Scheduled_Interest_Rate" localSheetId="22">#REF!</definedName>
    <definedName name="Scheduled_Interest_Rate" localSheetId="25">#REF!</definedName>
    <definedName name="Scheduled_Interest_Rate" localSheetId="29">#REF!</definedName>
    <definedName name="Scheduled_Interest_Rate" localSheetId="27">#REF!</definedName>
    <definedName name="Scheduled_Interest_Rate" localSheetId="28">#REF!</definedName>
    <definedName name="Scheduled_Interest_Rate" localSheetId="12">#REF!</definedName>
    <definedName name="Scheduled_Interest_Rate" localSheetId="14">#REF!</definedName>
    <definedName name="Scheduled_Interest_Rate" localSheetId="19">#REF!</definedName>
    <definedName name="Scheduled_Interest_Rate" localSheetId="30">#REF!</definedName>
    <definedName name="Scheduled_Interest_Rate" localSheetId="31">#REF!</definedName>
    <definedName name="Scheduled_Interest_Rate" localSheetId="32">#REF!</definedName>
    <definedName name="Scheduled_Interest_Rate" localSheetId="36">#REF!</definedName>
    <definedName name="Scheduled_Interest_Rate" localSheetId="35">#REF!</definedName>
    <definedName name="Scheduled_Interest_Rate" localSheetId="34">#REF!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2">#REF!</definedName>
    <definedName name="Scheduled_Interest_Rate" localSheetId="48">#REF!</definedName>
    <definedName name="Scheduled_Interest_Rate" localSheetId="49">#REF!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33">#REF!</definedName>
    <definedName name="Scheduled_Interest_Rate" localSheetId="43">#REF!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23">#REF!</definedName>
    <definedName name="Scheduled_Monthly_Payment" localSheetId="24">#REF!</definedName>
    <definedName name="Scheduled_Monthly_Payment" localSheetId="22">#REF!</definedName>
    <definedName name="Scheduled_Monthly_Payment" localSheetId="25">#REF!</definedName>
    <definedName name="Scheduled_Monthly_Payment" localSheetId="29">#REF!</definedName>
    <definedName name="Scheduled_Monthly_Payment" localSheetId="27">#REF!</definedName>
    <definedName name="Scheduled_Monthly_Payment" localSheetId="28">#REF!</definedName>
    <definedName name="Scheduled_Monthly_Payment" localSheetId="12">#REF!</definedName>
    <definedName name="Scheduled_Monthly_Payment" localSheetId="14">#REF!</definedName>
    <definedName name="Scheduled_Monthly_Payment" localSheetId="19">#REF!</definedName>
    <definedName name="Scheduled_Monthly_Payment" localSheetId="30">#REF!</definedName>
    <definedName name="Scheduled_Monthly_Payment" localSheetId="31">#REF!</definedName>
    <definedName name="Scheduled_Monthly_Payment" localSheetId="32">#REF!</definedName>
    <definedName name="Scheduled_Monthly_Payment" localSheetId="36">#REF!</definedName>
    <definedName name="Scheduled_Monthly_Payment" localSheetId="35">#REF!</definedName>
    <definedName name="Scheduled_Monthly_Payment" localSheetId="34">#REF!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2">#REF!</definedName>
    <definedName name="Scheduled_Monthly_Payment" localSheetId="48">#REF!</definedName>
    <definedName name="Scheduled_Monthly_Payment" localSheetId="49">#REF!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33">#REF!</definedName>
    <definedName name="Scheduled_Monthly_Payment" localSheetId="43">#REF!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23">#REF!</definedName>
    <definedName name="SloupecCC" localSheetId="24">#REF!</definedName>
    <definedName name="SloupecCC" localSheetId="22">#REF!</definedName>
    <definedName name="SloupecCC" localSheetId="25">#REF!</definedName>
    <definedName name="SloupecCC" localSheetId="29">#REF!</definedName>
    <definedName name="SloupecCC" localSheetId="27">#REF!</definedName>
    <definedName name="SloupecCC" localSheetId="28">#REF!</definedName>
    <definedName name="SloupecCC" localSheetId="12">#REF!</definedName>
    <definedName name="SloupecCC" localSheetId="14">#REF!</definedName>
    <definedName name="SloupecCC" localSheetId="19">#REF!</definedName>
    <definedName name="SloupecCC" localSheetId="30">#REF!</definedName>
    <definedName name="SloupecCC" localSheetId="31">#REF!</definedName>
    <definedName name="SloupecCC" localSheetId="32">#REF!</definedName>
    <definedName name="SloupecCC" localSheetId="36">#REF!</definedName>
    <definedName name="SloupecCC" localSheetId="35">#REF!</definedName>
    <definedName name="SloupecCC" localSheetId="34">#REF!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2">#REF!</definedName>
    <definedName name="SloupecCC" localSheetId="48">#REF!</definedName>
    <definedName name="SloupecCC" localSheetId="49">#REF!</definedName>
    <definedName name="SloupecCC" localSheetId="44">#REF!</definedName>
    <definedName name="SloupecCC" localSheetId="45">#REF!</definedName>
    <definedName name="SloupecCC" localSheetId="46">#REF!</definedName>
    <definedName name="SloupecCC" localSheetId="47">#REF!</definedName>
    <definedName name="SloupecCC" localSheetId="0">#REF!</definedName>
    <definedName name="SloupecCC" localSheetId="33">#REF!</definedName>
    <definedName name="SloupecCC" localSheetId="43">#REF!</definedName>
    <definedName name="SloupecCC" localSheetId="1">#REF!</definedName>
    <definedName name="SloupecCC">#REF!</definedName>
    <definedName name="SloupecCisloPol" localSheetId="10">#REF!</definedName>
    <definedName name="SloupecCisloPol" localSheetId="11">#REF!</definedName>
    <definedName name="SloupecCisloPol" localSheetId="23">#REF!</definedName>
    <definedName name="SloupecCisloPol" localSheetId="24">#REF!</definedName>
    <definedName name="SloupecCisloPol" localSheetId="22">#REF!</definedName>
    <definedName name="SloupecCisloPol" localSheetId="25">#REF!</definedName>
    <definedName name="SloupecCisloPol" localSheetId="29">#REF!</definedName>
    <definedName name="SloupecCisloPol" localSheetId="27">#REF!</definedName>
    <definedName name="SloupecCisloPol" localSheetId="28">#REF!</definedName>
    <definedName name="SloupecCisloPol" localSheetId="12">#REF!</definedName>
    <definedName name="SloupecCisloPol" localSheetId="14">#REF!</definedName>
    <definedName name="SloupecCisloPol" localSheetId="19">#REF!</definedName>
    <definedName name="SloupecCisloPol" localSheetId="30">#REF!</definedName>
    <definedName name="SloupecCisloPol" localSheetId="31">#REF!</definedName>
    <definedName name="SloupecCisloPol" localSheetId="32">#REF!</definedName>
    <definedName name="SloupecCisloPol" localSheetId="36">#REF!</definedName>
    <definedName name="SloupecCisloPol" localSheetId="35">#REF!</definedName>
    <definedName name="SloupecCisloPol" localSheetId="34">#REF!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2">#REF!</definedName>
    <definedName name="SloupecCisloPol" localSheetId="48">#REF!</definedName>
    <definedName name="SloupecCisloPol" localSheetId="49">#REF!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0">#REF!</definedName>
    <definedName name="SloupecCisloPol" localSheetId="33">#REF!</definedName>
    <definedName name="SloupecCisloPol" localSheetId="43">#REF!</definedName>
    <definedName name="SloupecCisloPol" localSheetId="1">#REF!</definedName>
    <definedName name="SloupecCisloPol">#REF!</definedName>
    <definedName name="SloupecJC" localSheetId="10">#REF!</definedName>
    <definedName name="SloupecJC" localSheetId="11">#REF!</definedName>
    <definedName name="SloupecJC" localSheetId="23">#REF!</definedName>
    <definedName name="SloupecJC" localSheetId="24">#REF!</definedName>
    <definedName name="SloupecJC" localSheetId="22">#REF!</definedName>
    <definedName name="SloupecJC" localSheetId="25">#REF!</definedName>
    <definedName name="SloupecJC" localSheetId="29">#REF!</definedName>
    <definedName name="SloupecJC" localSheetId="27">#REF!</definedName>
    <definedName name="SloupecJC" localSheetId="28">#REF!</definedName>
    <definedName name="SloupecJC" localSheetId="12">#REF!</definedName>
    <definedName name="SloupecJC" localSheetId="14">#REF!</definedName>
    <definedName name="SloupecJC" localSheetId="19">#REF!</definedName>
    <definedName name="SloupecJC" localSheetId="30">#REF!</definedName>
    <definedName name="SloupecJC" localSheetId="31">#REF!</definedName>
    <definedName name="SloupecJC" localSheetId="32">#REF!</definedName>
    <definedName name="SloupecJC" localSheetId="36">#REF!</definedName>
    <definedName name="SloupecJC" localSheetId="35">#REF!</definedName>
    <definedName name="SloupecJC" localSheetId="34">#REF!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2">#REF!</definedName>
    <definedName name="SloupecJC" localSheetId="48">#REF!</definedName>
    <definedName name="SloupecJC" localSheetId="49">#REF!</definedName>
    <definedName name="SloupecJC" localSheetId="44">#REF!</definedName>
    <definedName name="SloupecJC" localSheetId="45">#REF!</definedName>
    <definedName name="SloupecJC" localSheetId="46">#REF!</definedName>
    <definedName name="SloupecJC" localSheetId="47">#REF!</definedName>
    <definedName name="SloupecJC" localSheetId="0">#REF!</definedName>
    <definedName name="SloupecJC" localSheetId="33">#REF!</definedName>
    <definedName name="SloupecJC" localSheetId="43">#REF!</definedName>
    <definedName name="SloupecJC" localSheetId="1">#REF!</definedName>
    <definedName name="SloupecJC">#REF!</definedName>
    <definedName name="SloupecMJ" localSheetId="10">#REF!</definedName>
    <definedName name="SloupecMJ" localSheetId="11">#REF!</definedName>
    <definedName name="SloupecMJ" localSheetId="23">#REF!</definedName>
    <definedName name="SloupecMJ" localSheetId="24">#REF!</definedName>
    <definedName name="SloupecMJ" localSheetId="22">#REF!</definedName>
    <definedName name="SloupecMJ" localSheetId="25">#REF!</definedName>
    <definedName name="SloupecMJ" localSheetId="29">#REF!</definedName>
    <definedName name="SloupecMJ" localSheetId="27">#REF!</definedName>
    <definedName name="SloupecMJ" localSheetId="28">#REF!</definedName>
    <definedName name="SloupecMJ" localSheetId="12">#REF!</definedName>
    <definedName name="SloupecMJ" localSheetId="14">#REF!</definedName>
    <definedName name="SloupecMJ" localSheetId="19">#REF!</definedName>
    <definedName name="SloupecMJ" localSheetId="30">#REF!</definedName>
    <definedName name="SloupecMJ" localSheetId="31">#REF!</definedName>
    <definedName name="SloupecMJ" localSheetId="32">#REF!</definedName>
    <definedName name="SloupecMJ" localSheetId="36">#REF!</definedName>
    <definedName name="SloupecMJ" localSheetId="35">#REF!</definedName>
    <definedName name="SloupecMJ" localSheetId="34">#REF!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2">#REF!</definedName>
    <definedName name="SloupecMJ" localSheetId="48">#REF!</definedName>
    <definedName name="SloupecMJ" localSheetId="49">#REF!</definedName>
    <definedName name="SloupecMJ" localSheetId="44">#REF!</definedName>
    <definedName name="SloupecMJ" localSheetId="45">#REF!</definedName>
    <definedName name="SloupecMJ" localSheetId="46">#REF!</definedName>
    <definedName name="SloupecMJ" localSheetId="47">#REF!</definedName>
    <definedName name="SloupecMJ" localSheetId="0">#REF!</definedName>
    <definedName name="SloupecMJ" localSheetId="33">#REF!</definedName>
    <definedName name="SloupecMJ" localSheetId="43">#REF!</definedName>
    <definedName name="SloupecMJ" localSheetId="1">#REF!</definedName>
    <definedName name="SloupecMJ">#REF!</definedName>
    <definedName name="SloupecMnozstvi" localSheetId="10">#REF!</definedName>
    <definedName name="SloupecMnozstvi" localSheetId="11">#REF!</definedName>
    <definedName name="SloupecMnozstvi" localSheetId="23">#REF!</definedName>
    <definedName name="SloupecMnozstvi" localSheetId="24">#REF!</definedName>
    <definedName name="SloupecMnozstvi" localSheetId="22">#REF!</definedName>
    <definedName name="SloupecMnozstvi" localSheetId="25">#REF!</definedName>
    <definedName name="SloupecMnozstvi" localSheetId="29">#REF!</definedName>
    <definedName name="SloupecMnozstvi" localSheetId="27">#REF!</definedName>
    <definedName name="SloupecMnozstvi" localSheetId="28">#REF!</definedName>
    <definedName name="SloupecMnozstvi" localSheetId="12">#REF!</definedName>
    <definedName name="SloupecMnozstvi" localSheetId="14">#REF!</definedName>
    <definedName name="SloupecMnozstvi" localSheetId="19">#REF!</definedName>
    <definedName name="SloupecMnozstvi" localSheetId="30">#REF!</definedName>
    <definedName name="SloupecMnozstvi" localSheetId="31">#REF!</definedName>
    <definedName name="SloupecMnozstvi" localSheetId="32">#REF!</definedName>
    <definedName name="SloupecMnozstvi" localSheetId="36">#REF!</definedName>
    <definedName name="SloupecMnozstvi" localSheetId="35">#REF!</definedName>
    <definedName name="SloupecMnozstvi" localSheetId="34">#REF!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2">#REF!</definedName>
    <definedName name="SloupecMnozstvi" localSheetId="48">#REF!</definedName>
    <definedName name="SloupecMnozstvi" localSheetId="49">#REF!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0">#REF!</definedName>
    <definedName name="SloupecMnozstvi" localSheetId="33">#REF!</definedName>
    <definedName name="SloupecMnozstvi" localSheetId="43">#REF!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23">#REF!</definedName>
    <definedName name="SloupecNazPol" localSheetId="24">#REF!</definedName>
    <definedName name="SloupecNazPol" localSheetId="22">#REF!</definedName>
    <definedName name="SloupecNazPol" localSheetId="25">#REF!</definedName>
    <definedName name="SloupecNazPol" localSheetId="29">#REF!</definedName>
    <definedName name="SloupecNazPol" localSheetId="27">#REF!</definedName>
    <definedName name="SloupecNazPol" localSheetId="28">#REF!</definedName>
    <definedName name="SloupecNazPol" localSheetId="12">#REF!</definedName>
    <definedName name="SloupecNazPol" localSheetId="14">#REF!</definedName>
    <definedName name="SloupecNazPol" localSheetId="19">#REF!</definedName>
    <definedName name="SloupecNazPol" localSheetId="30">#REF!</definedName>
    <definedName name="SloupecNazPol" localSheetId="31">#REF!</definedName>
    <definedName name="SloupecNazPol" localSheetId="32">#REF!</definedName>
    <definedName name="SloupecNazPol" localSheetId="36">#REF!</definedName>
    <definedName name="SloupecNazPol" localSheetId="35">#REF!</definedName>
    <definedName name="SloupecNazPol" localSheetId="34">#REF!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2">#REF!</definedName>
    <definedName name="SloupecNazPol" localSheetId="48">#REF!</definedName>
    <definedName name="SloupecNazPol" localSheetId="49">#REF!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0">#REF!</definedName>
    <definedName name="SloupecNazPol" localSheetId="33">#REF!</definedName>
    <definedName name="SloupecNazPol" localSheetId="43">#REF!</definedName>
    <definedName name="SloupecNazPol" localSheetId="1">#REF!</definedName>
    <definedName name="SloupecNazPol">#REF!</definedName>
    <definedName name="SloupecPC" localSheetId="10">#REF!</definedName>
    <definedName name="SloupecPC" localSheetId="11">#REF!</definedName>
    <definedName name="SloupecPC" localSheetId="23">#REF!</definedName>
    <definedName name="SloupecPC" localSheetId="24">#REF!</definedName>
    <definedName name="SloupecPC" localSheetId="22">#REF!</definedName>
    <definedName name="SloupecPC" localSheetId="25">#REF!</definedName>
    <definedName name="SloupecPC" localSheetId="29">#REF!</definedName>
    <definedName name="SloupecPC" localSheetId="27">#REF!</definedName>
    <definedName name="SloupecPC" localSheetId="28">#REF!</definedName>
    <definedName name="SloupecPC" localSheetId="12">#REF!</definedName>
    <definedName name="SloupecPC" localSheetId="14">#REF!</definedName>
    <definedName name="SloupecPC" localSheetId="19">#REF!</definedName>
    <definedName name="SloupecPC" localSheetId="30">#REF!</definedName>
    <definedName name="SloupecPC" localSheetId="31">#REF!</definedName>
    <definedName name="SloupecPC" localSheetId="32">#REF!</definedName>
    <definedName name="SloupecPC" localSheetId="36">#REF!</definedName>
    <definedName name="SloupecPC" localSheetId="35">#REF!</definedName>
    <definedName name="SloupecPC" localSheetId="34">#REF!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2">#REF!</definedName>
    <definedName name="SloupecPC" localSheetId="48">#REF!</definedName>
    <definedName name="SloupecPC" localSheetId="49">#REF!</definedName>
    <definedName name="SloupecPC" localSheetId="44">#REF!</definedName>
    <definedName name="SloupecPC" localSheetId="45">#REF!</definedName>
    <definedName name="SloupecPC" localSheetId="46">#REF!</definedName>
    <definedName name="SloupecPC" localSheetId="47">#REF!</definedName>
    <definedName name="SloupecPC" localSheetId="0">#REF!</definedName>
    <definedName name="SloupecPC" localSheetId="33">#REF!</definedName>
    <definedName name="SloupecPC" localSheetId="43">#REF!</definedName>
    <definedName name="SloupecPC" localSheetId="1">#REF!</definedName>
    <definedName name="SloupecPC">#REF!</definedName>
    <definedName name="SoucetDilu" localSheetId="0">KL!#REF!</definedName>
    <definedName name="soupis" localSheetId="10" hidden="1">{#N/A,#N/A,TRUE,"Krycí list"}</definedName>
    <definedName name="soupis" localSheetId="11" hidden="1">{#N/A,#N/A,TRUE,"Krycí list"}</definedName>
    <definedName name="soupis" localSheetId="23" hidden="1">{#N/A,#N/A,TRUE,"Krycí list"}</definedName>
    <definedName name="soupis" localSheetId="24" hidden="1">{#N/A,#N/A,TRUE,"Krycí list"}</definedName>
    <definedName name="soupis" localSheetId="22" hidden="1">{#N/A,#N/A,TRUE,"Krycí list"}</definedName>
    <definedName name="soupis" localSheetId="25" hidden="1">{#N/A,#N/A,TRUE,"Krycí list"}</definedName>
    <definedName name="soupis" localSheetId="29" hidden="1">{#N/A,#N/A,TRUE,"Krycí list"}</definedName>
    <definedName name="soupis" localSheetId="27" hidden="1">{#N/A,#N/A,TRUE,"Krycí list"}</definedName>
    <definedName name="soupis" localSheetId="28"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9" hidden="1">{#N/A,#N/A,TRUE,"Krycí list"}</definedName>
    <definedName name="soupis" localSheetId="30" hidden="1">{#N/A,#N/A,TRUE,"Krycí list"}</definedName>
    <definedName name="soupis" localSheetId="31" hidden="1">{#N/A,#N/A,TRUE,"Krycí list"}</definedName>
    <definedName name="soupis" localSheetId="32"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42" hidden="1">{#N/A,#N/A,TRUE,"Krycí list"}</definedName>
    <definedName name="soupis" localSheetId="0" hidden="1">{#N/A,#N/A,TRUE,"Krycí list"}</definedName>
    <definedName name="soupis" localSheetId="18" hidden="1">{#N/A,#N/A,TRUE,"Krycí list"}</definedName>
    <definedName name="soupis" localSheetId="33" hidden="1">{#N/A,#N/A,TRUE,"Krycí list"}</definedName>
    <definedName name="soupis" localSheetId="43" hidden="1">{#N/A,#N/A,TRUE,"Krycí list"}</definedName>
    <definedName name="soupis" localSheetId="26" hidden="1">{#N/A,#N/A,TRUE,"Krycí list"}</definedName>
    <definedName name="soupis" localSheetId="21" hidden="1">{#N/A,#N/A,TRUE,"Krycí list"}</definedName>
    <definedName name="soupis" localSheetId="1" hidden="1">{#N/A,#N/A,TRUE,"Krycí list"}</definedName>
    <definedName name="soupis" hidden="1">{#N/A,#N/A,TRUE,"Krycí list"}</definedName>
    <definedName name="ssss" localSheetId="10">#REF!</definedName>
    <definedName name="ssss" localSheetId="11">#REF!</definedName>
    <definedName name="ssss" localSheetId="23">#REF!</definedName>
    <definedName name="ssss" localSheetId="24">#REF!</definedName>
    <definedName name="ssss" localSheetId="22">#REF!</definedName>
    <definedName name="ssss" localSheetId="25">#REF!</definedName>
    <definedName name="ssss" localSheetId="29">#REF!</definedName>
    <definedName name="ssss" localSheetId="27">#REF!</definedName>
    <definedName name="ssss" localSheetId="28">#REF!</definedName>
    <definedName name="ssss" localSheetId="12">#REF!</definedName>
    <definedName name="ssss" localSheetId="13">#REF!</definedName>
    <definedName name="ssss" localSheetId="14">#REF!</definedName>
    <definedName name="ssss" localSheetId="19">#REF!</definedName>
    <definedName name="ssss" localSheetId="30">#REF!</definedName>
    <definedName name="ssss" localSheetId="31">#REF!</definedName>
    <definedName name="ssss" localSheetId="32">#REF!</definedName>
    <definedName name="ssss" localSheetId="36">#REF!</definedName>
    <definedName name="ssss" localSheetId="35">#REF!</definedName>
    <definedName name="ssss" localSheetId="34">#REF!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2">#REF!</definedName>
    <definedName name="ssss" localSheetId="48">#REF!</definedName>
    <definedName name="ssss" localSheetId="49">#REF!</definedName>
    <definedName name="ssss" localSheetId="44">#REF!</definedName>
    <definedName name="ssss" localSheetId="45">#REF!</definedName>
    <definedName name="ssss" localSheetId="46">#REF!</definedName>
    <definedName name="ssss" localSheetId="47">#REF!</definedName>
    <definedName name="ssss" localSheetId="18">#REF!</definedName>
    <definedName name="ssss" localSheetId="33">#REF!</definedName>
    <definedName name="ssss" localSheetId="43">#REF!</definedName>
    <definedName name="ssss" localSheetId="26">#REF!</definedName>
    <definedName name="ssss" localSheetId="21">#REF!</definedName>
    <definedName name="ssss" localSheetId="1">#REF!</definedName>
    <definedName name="ssss">#REF!</definedName>
    <definedName name="StavbaCelkem" localSheetId="0">KL!$H$69</definedName>
    <definedName name="subslevy" localSheetId="10">#REF!</definedName>
    <definedName name="subslevy" localSheetId="11">#REF!</definedName>
    <definedName name="subslevy" localSheetId="23">#REF!</definedName>
    <definedName name="subslevy" localSheetId="24">#REF!</definedName>
    <definedName name="subslevy" localSheetId="22">#REF!</definedName>
    <definedName name="subslevy" localSheetId="25">#REF!</definedName>
    <definedName name="subslevy" localSheetId="29">#REF!</definedName>
    <definedName name="subslevy" localSheetId="27">#REF!</definedName>
    <definedName name="subslevy" localSheetId="28">#REF!</definedName>
    <definedName name="subslevy" localSheetId="12">#REF!</definedName>
    <definedName name="subslevy" localSheetId="13">#REF!</definedName>
    <definedName name="subslevy" localSheetId="14">#REF!</definedName>
    <definedName name="subslevy" localSheetId="19">#REF!</definedName>
    <definedName name="subslevy" localSheetId="30">#REF!</definedName>
    <definedName name="subslevy" localSheetId="31">#REF!</definedName>
    <definedName name="subslevy" localSheetId="32">#REF!</definedName>
    <definedName name="subslevy" localSheetId="36">#REF!</definedName>
    <definedName name="subslevy" localSheetId="35">#REF!</definedName>
    <definedName name="subslevy" localSheetId="34">#REF!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2">#REF!</definedName>
    <definedName name="subslevy" localSheetId="48">#REF!</definedName>
    <definedName name="subslevy" localSheetId="49">#REF!</definedName>
    <definedName name="subslevy" localSheetId="44">#REF!</definedName>
    <definedName name="subslevy" localSheetId="45">#REF!</definedName>
    <definedName name="subslevy" localSheetId="46">#REF!</definedName>
    <definedName name="subslevy" localSheetId="47">#REF!</definedName>
    <definedName name="subslevy" localSheetId="18">#REF!</definedName>
    <definedName name="subslevy" localSheetId="33">#REF!</definedName>
    <definedName name="subslevy" localSheetId="43">#REF!</definedName>
    <definedName name="subslevy" localSheetId="26">#REF!</definedName>
    <definedName name="subslevy" localSheetId="21">#REF!</definedName>
    <definedName name="subslevy" localSheetId="1">#REF!</definedName>
    <definedName name="subslevy">#REF!</definedName>
    <definedName name="sum_kapitoly" localSheetId="10">'[8]Rekapitulace roz.  vč. kapitol'!#REF!</definedName>
    <definedName name="sum_kapitoly" localSheetId="11">'[8]Rekapitulace roz.  vč. kapitol'!#REF!</definedName>
    <definedName name="sum_kapitoly" localSheetId="23">'[8]Rekapitulace roz.  vč. kapitol'!#REF!</definedName>
    <definedName name="sum_kapitoly" localSheetId="24">'[8]Rekapitulace roz.  vč. kapitol'!#REF!</definedName>
    <definedName name="sum_kapitoly" localSheetId="22">'[8]Rekapitulace roz.  vč. kapitol'!#REF!</definedName>
    <definedName name="sum_kapitoly" localSheetId="25">'[8]Rekapitulace roz.  vč. kapitol'!#REF!</definedName>
    <definedName name="sum_kapitoly" localSheetId="29">'[8]Rekapitulace roz.  vč. kapitol'!#REF!</definedName>
    <definedName name="sum_kapitoly" localSheetId="27">'[8]Rekapitulace roz.  vč. kapitol'!#REF!</definedName>
    <definedName name="sum_kapitoly" localSheetId="28">'[8]Rekapitulace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9">'[8]Rekapitulace roz.  vč. kapitol'!#REF!</definedName>
    <definedName name="sum_kapitoly" localSheetId="30">'[8]Rekapitulace roz.  vč. kapitol'!#REF!</definedName>
    <definedName name="sum_kapitoly" localSheetId="31">'[8]Rekapitulace roz.  vč. kapitol'!#REF!</definedName>
    <definedName name="sum_kapitoly" localSheetId="32">'[8]Rekapitulace roz.  vč. kapitol'!#REF!</definedName>
    <definedName name="sum_kapitoly" localSheetId="36">'[8]Rekapitulace roz.  vč. kapitol'!#REF!</definedName>
    <definedName name="sum_kapitoly" localSheetId="35">'[8]Rekapitulace roz.  vč. kapitol'!#REF!</definedName>
    <definedName name="sum_kapitoly" localSheetId="34">'[8]Rekapitulace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2">'[8]Rekapitulace roz.  vč. kapitol'!#REF!</definedName>
    <definedName name="sum_kapitoly" localSheetId="48">'[8]Rekapitulace roz.  vč. kapitol'!#REF!</definedName>
    <definedName name="sum_kapitoly" localSheetId="49">'[8]Rekapitulace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18">'[8]Rekapitulace roz.  vč. kapitol'!#REF!</definedName>
    <definedName name="sum_kapitoly" localSheetId="33">'[8]Rekapitulace roz.  vč. kapitol'!#REF!</definedName>
    <definedName name="sum_kapitoly" localSheetId="43">'[8]Rekapitulace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11" hidden="1">{#N/A,#N/A,TRUE,"Krycí list"}</definedName>
    <definedName name="summary" localSheetId="23" hidden="1">{#N/A,#N/A,TRUE,"Krycí list"}</definedName>
    <definedName name="summary" localSheetId="24" hidden="1">{#N/A,#N/A,TRUE,"Krycí list"}</definedName>
    <definedName name="summary" localSheetId="22" hidden="1">{#N/A,#N/A,TRUE,"Krycí list"}</definedName>
    <definedName name="summary" localSheetId="25" hidden="1">{#N/A,#N/A,TRUE,"Krycí list"}</definedName>
    <definedName name="summary" localSheetId="29" hidden="1">{#N/A,#N/A,TRUE,"Krycí list"}</definedName>
    <definedName name="summary" localSheetId="27" hidden="1">{#N/A,#N/A,TRUE,"Krycí list"}</definedName>
    <definedName name="summary" localSheetId="28"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9" hidden="1">{#N/A,#N/A,TRUE,"Krycí list"}</definedName>
    <definedName name="summary" localSheetId="30" hidden="1">{#N/A,#N/A,TRUE,"Krycí list"}</definedName>
    <definedName name="summary" localSheetId="31" hidden="1">{#N/A,#N/A,TRUE,"Krycí list"}</definedName>
    <definedName name="summary" localSheetId="32"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42" hidden="1">{#N/A,#N/A,TRUE,"Krycí list"}</definedName>
    <definedName name="summary" localSheetId="0" hidden="1">{#N/A,#N/A,TRUE,"Krycí list"}</definedName>
    <definedName name="summary" localSheetId="18" hidden="1">{#N/A,#N/A,TRUE,"Krycí list"}</definedName>
    <definedName name="summary" localSheetId="33" hidden="1">{#N/A,#N/A,TRUE,"Krycí list"}</definedName>
    <definedName name="summary" localSheetId="43" hidden="1">{#N/A,#N/A,TRUE,"Krycí list"}</definedName>
    <definedName name="summary" localSheetId="26" hidden="1">{#N/A,#N/A,TRUE,"Krycí list"}</definedName>
    <definedName name="summary" localSheetId="21" hidden="1">{#N/A,#N/A,TRUE,"Krycí list"}</definedName>
    <definedName name="summary" localSheetId="1" hidden="1">{#N/A,#N/A,TRUE,"Krycí list"}</definedName>
    <definedName name="summary" hidden="1">{#N/A,#N/A,TRUE,"Krycí list"}</definedName>
    <definedName name="sumpok" localSheetId="10">#REF!</definedName>
    <definedName name="sumpok" localSheetId="11">#REF!</definedName>
    <definedName name="sumpok" localSheetId="23">#REF!</definedName>
    <definedName name="sumpok" localSheetId="24">#REF!</definedName>
    <definedName name="sumpok" localSheetId="22">#REF!</definedName>
    <definedName name="sumpok" localSheetId="25">#REF!</definedName>
    <definedName name="sumpok" localSheetId="29">#REF!</definedName>
    <definedName name="sumpok" localSheetId="27">#REF!</definedName>
    <definedName name="sumpok" localSheetId="28">#REF!</definedName>
    <definedName name="sumpok" localSheetId="12">#REF!</definedName>
    <definedName name="sumpok" localSheetId="13">#REF!</definedName>
    <definedName name="sumpok" localSheetId="14">#REF!</definedName>
    <definedName name="sumpok" localSheetId="19">#REF!</definedName>
    <definedName name="sumpok" localSheetId="30">#REF!</definedName>
    <definedName name="sumpok" localSheetId="31">#REF!</definedName>
    <definedName name="sumpok" localSheetId="32">#REF!</definedName>
    <definedName name="sumpok" localSheetId="36">#REF!</definedName>
    <definedName name="sumpok" localSheetId="35">#REF!</definedName>
    <definedName name="sumpok" localSheetId="34">#REF!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2">#REF!</definedName>
    <definedName name="sumpok" localSheetId="48">#REF!</definedName>
    <definedName name="sumpok" localSheetId="49">#REF!</definedName>
    <definedName name="sumpok" localSheetId="44">#REF!</definedName>
    <definedName name="sumpok" localSheetId="45">#REF!</definedName>
    <definedName name="sumpok" localSheetId="46">#REF!</definedName>
    <definedName name="sumpok" localSheetId="47">#REF!</definedName>
    <definedName name="sumpok" localSheetId="33">#REF!</definedName>
    <definedName name="sumpok" localSheetId="43">#REF!</definedName>
    <definedName name="sumpok" localSheetId="26">#REF!</definedName>
    <definedName name="sumpok" localSheetId="1">#REF!</definedName>
    <definedName name="sumpok">#REF!</definedName>
    <definedName name="Switchboard" localSheetId="10" hidden="1">{#N/A,#N/A,TRUE,"Krycí list"}</definedName>
    <definedName name="Switchboard" localSheetId="11" hidden="1">{#N/A,#N/A,TRUE,"Krycí list"}</definedName>
    <definedName name="Switchboard" localSheetId="23" hidden="1">{#N/A,#N/A,TRUE,"Krycí list"}</definedName>
    <definedName name="Switchboard" localSheetId="24" hidden="1">{#N/A,#N/A,TRUE,"Krycí list"}</definedName>
    <definedName name="Switchboard" localSheetId="22" hidden="1">{#N/A,#N/A,TRUE,"Krycí list"}</definedName>
    <definedName name="Switchboard" localSheetId="25" hidden="1">{#N/A,#N/A,TRUE,"Krycí list"}</definedName>
    <definedName name="Switchboard" localSheetId="29" hidden="1">{#N/A,#N/A,TRUE,"Krycí list"}</definedName>
    <definedName name="Switchboard" localSheetId="27" hidden="1">{#N/A,#N/A,TRUE,"Krycí list"}</definedName>
    <definedName name="Switchboard" localSheetId="28"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9" hidden="1">{#N/A,#N/A,TRUE,"Krycí list"}</definedName>
    <definedName name="Switchboard" localSheetId="30" hidden="1">{#N/A,#N/A,TRUE,"Krycí list"}</definedName>
    <definedName name="Switchboard" localSheetId="31" hidden="1">{#N/A,#N/A,TRUE,"Krycí list"}</definedName>
    <definedName name="Switchboard" localSheetId="32"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42" hidden="1">{#N/A,#N/A,TRUE,"Krycí list"}</definedName>
    <definedName name="Switchboard" localSheetId="0" hidden="1">{#N/A,#N/A,TRUE,"Krycí list"}</definedName>
    <definedName name="Switchboard" localSheetId="18" hidden="1">{#N/A,#N/A,TRUE,"Krycí list"}</definedName>
    <definedName name="Switchboard" localSheetId="33" hidden="1">{#N/A,#N/A,TRUE,"Krycí list"}</definedName>
    <definedName name="Switchboard" localSheetId="43" hidden="1">{#N/A,#N/A,TRUE,"Krycí list"}</definedName>
    <definedName name="Switchboard" localSheetId="26" hidden="1">{#N/A,#N/A,TRUE,"Krycí list"}</definedName>
    <definedName name="Switchboard" localSheetId="21" hidden="1">{#N/A,#N/A,TRUE,"Krycí list"}</definedName>
    <definedName name="Switchboard" localSheetId="1" hidden="1">{#N/A,#N/A,TRUE,"Krycí list"}</definedName>
    <definedName name="Switchboard" hidden="1">{#N/A,#N/A,TRUE,"Krycí list"}</definedName>
    <definedName name="tab" localSheetId="10">#REF!</definedName>
    <definedName name="tab" localSheetId="11">#REF!</definedName>
    <definedName name="tab" localSheetId="23">#REF!</definedName>
    <definedName name="tab" localSheetId="24">#REF!</definedName>
    <definedName name="tab" localSheetId="22">#REF!</definedName>
    <definedName name="tab" localSheetId="25">#REF!</definedName>
    <definedName name="tab" localSheetId="29">#REF!</definedName>
    <definedName name="tab" localSheetId="27">#REF!</definedName>
    <definedName name="tab" localSheetId="28">#REF!</definedName>
    <definedName name="tab" localSheetId="12">#REF!</definedName>
    <definedName name="tab" localSheetId="13">#REF!</definedName>
    <definedName name="tab" localSheetId="14">#REF!</definedName>
    <definedName name="tab" localSheetId="19">#REF!</definedName>
    <definedName name="tab" localSheetId="30">#REF!</definedName>
    <definedName name="tab" localSheetId="31">#REF!</definedName>
    <definedName name="tab" localSheetId="32">#REF!</definedName>
    <definedName name="tab" localSheetId="36">#REF!</definedName>
    <definedName name="tab" localSheetId="35">#REF!</definedName>
    <definedName name="tab" localSheetId="34">#REF!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2">#REF!</definedName>
    <definedName name="tab" localSheetId="48">#REF!</definedName>
    <definedName name="tab" localSheetId="49">#REF!</definedName>
    <definedName name="tab" localSheetId="44">#REF!</definedName>
    <definedName name="tab" localSheetId="45">#REF!</definedName>
    <definedName name="tab" localSheetId="46">#REF!</definedName>
    <definedName name="tab" localSheetId="47">#REF!</definedName>
    <definedName name="tab" localSheetId="33">#REF!</definedName>
    <definedName name="tab" localSheetId="43">#REF!</definedName>
    <definedName name="tab" localSheetId="26">#REF!</definedName>
    <definedName name="tab" localSheetId="1">#REF!</definedName>
    <definedName name="tab">#REF!</definedName>
    <definedName name="Total_Interest" localSheetId="10">#REF!</definedName>
    <definedName name="Total_Interest" localSheetId="11">#REF!</definedName>
    <definedName name="Total_Interest" localSheetId="23">#REF!</definedName>
    <definedName name="Total_Interest" localSheetId="24">#REF!</definedName>
    <definedName name="Total_Interest" localSheetId="22">#REF!</definedName>
    <definedName name="Total_Interest" localSheetId="25">#REF!</definedName>
    <definedName name="Total_Interest" localSheetId="29">#REF!</definedName>
    <definedName name="Total_Interest" localSheetId="27">#REF!</definedName>
    <definedName name="Total_Interest" localSheetId="28">#REF!</definedName>
    <definedName name="Total_Interest" localSheetId="12">#REF!</definedName>
    <definedName name="Total_Interest" localSheetId="13">#REF!</definedName>
    <definedName name="Total_Interest" localSheetId="14">#REF!</definedName>
    <definedName name="Total_Interest" localSheetId="19">#REF!</definedName>
    <definedName name="Total_Interest" localSheetId="30">#REF!</definedName>
    <definedName name="Total_Interest" localSheetId="31">#REF!</definedName>
    <definedName name="Total_Interest" localSheetId="32">#REF!</definedName>
    <definedName name="Total_Interest" localSheetId="36">#REF!</definedName>
    <definedName name="Total_Interest" localSheetId="35">#REF!</definedName>
    <definedName name="Total_Interest" localSheetId="34">#REF!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2">#REF!</definedName>
    <definedName name="Total_Interest" localSheetId="48">#REF!</definedName>
    <definedName name="Total_Interest" localSheetId="49">#REF!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33">#REF!</definedName>
    <definedName name="Total_Interest" localSheetId="43">#REF!</definedName>
    <definedName name="Total_Interest" localSheetId="1">#REF!</definedName>
    <definedName name="Total_Interest">#REF!</definedName>
    <definedName name="Total_Pay" localSheetId="10">#REF!</definedName>
    <definedName name="Total_Pay" localSheetId="11">#REF!</definedName>
    <definedName name="Total_Pay" localSheetId="23">#REF!</definedName>
    <definedName name="Total_Pay" localSheetId="24">#REF!</definedName>
    <definedName name="Total_Pay" localSheetId="22">#REF!</definedName>
    <definedName name="Total_Pay" localSheetId="25">#REF!</definedName>
    <definedName name="Total_Pay" localSheetId="29">#REF!</definedName>
    <definedName name="Total_Pay" localSheetId="27">#REF!</definedName>
    <definedName name="Total_Pay" localSheetId="28">#REF!</definedName>
    <definedName name="Total_Pay" localSheetId="12">#REF!</definedName>
    <definedName name="Total_Pay" localSheetId="13">#REF!</definedName>
    <definedName name="Total_Pay" localSheetId="14">#REF!</definedName>
    <definedName name="Total_Pay" localSheetId="19">#REF!</definedName>
    <definedName name="Total_Pay" localSheetId="30">#REF!</definedName>
    <definedName name="Total_Pay" localSheetId="31">#REF!</definedName>
    <definedName name="Total_Pay" localSheetId="32">#REF!</definedName>
    <definedName name="Total_Pay" localSheetId="36">#REF!</definedName>
    <definedName name="Total_Pay" localSheetId="35">#REF!</definedName>
    <definedName name="Total_Pay" localSheetId="34">#REF!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2">#REF!</definedName>
    <definedName name="Total_Pay" localSheetId="48">#REF!</definedName>
    <definedName name="Total_Pay" localSheetId="49">#REF!</definedName>
    <definedName name="Total_Pay" localSheetId="44">#REF!</definedName>
    <definedName name="Total_Pay" localSheetId="45">#REF!</definedName>
    <definedName name="Total_Pay" localSheetId="46">#REF!</definedName>
    <definedName name="Total_Pay" localSheetId="47">#REF!</definedName>
    <definedName name="Total_Pay" localSheetId="33">#REF!</definedName>
    <definedName name="Total_Pay" localSheetId="43">#REF!</definedName>
    <definedName name="Total_Pay" localSheetId="1">#REF!</definedName>
    <definedName name="Total_Pay">#REF!</definedName>
    <definedName name="Total_Payment" localSheetId="10">Scheduled_Payment+Extra_Payment</definedName>
    <definedName name="Total_Payment" localSheetId="11">Scheduled_Payment+Extra_Payment</definedName>
    <definedName name="Total_Payment" localSheetId="23">Scheduled_Payment+Extra_Payment</definedName>
    <definedName name="Total_Payment" localSheetId="24">Scheduled_Payment+Extra_Payment</definedName>
    <definedName name="Total_Payment" localSheetId="22">Scheduled_Payment+Extra_Payment</definedName>
    <definedName name="Total_Payment" localSheetId="25">Scheduled_Payment+Extra_Payment</definedName>
    <definedName name="Total_Payment" localSheetId="29">Scheduled_Payment+Extra_Payment</definedName>
    <definedName name="Total_Payment" localSheetId="27">Scheduled_Payment+Extra_Payment</definedName>
    <definedName name="Total_Payment" localSheetId="28">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9">Scheduled_Payment+Extra_Payment</definedName>
    <definedName name="Total_Payment" localSheetId="20">Scheduled_Payment+Extra_Payment</definedName>
    <definedName name="Total_Payment" localSheetId="30">Scheduled_Payment+Extra_Payment</definedName>
    <definedName name="Total_Payment" localSheetId="31">Scheduled_Payment+Extra_Payment</definedName>
    <definedName name="Total_Payment" localSheetId="32">Scheduled_Payment+Extra_Payment</definedName>
    <definedName name="Total_Payment" localSheetId="36">Scheduled_Payment+Extra_Payment</definedName>
    <definedName name="Total_Payment" localSheetId="35">Scheduled_Payment+Extra_Payment</definedName>
    <definedName name="Total_Payment" localSheetId="34">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2">Scheduled_Payment+Extra_Payment</definedName>
    <definedName name="Total_Payment" localSheetId="48">Scheduled_Payment+Extra_Payment</definedName>
    <definedName name="Total_Payment" localSheetId="49">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0">Scheduled_Payment+Extra_Payment</definedName>
    <definedName name="Total_Payment" localSheetId="18">Scheduled_Payment+Extra_Payment</definedName>
    <definedName name="Total_Payment" localSheetId="33">Scheduled_Payment+Extra_Payment</definedName>
    <definedName name="Total_Payment" localSheetId="43">Scheduled_Payment+Extra_Payment</definedName>
    <definedName name="Total_Payment" localSheetId="26">Scheduled_Payment+Extra_Payment</definedName>
    <definedName name="Total_Payment" localSheetId="21">Scheduled_Payment+Extra_Payment</definedName>
    <definedName name="Total_Payment" localSheetId="1">Scheduled_Payment+Extra_Payment</definedName>
    <definedName name="Total_Payment">Scheduled_Payment+Extra_Payment</definedName>
    <definedName name="Typ" localSheetId="10">#REF!</definedName>
    <definedName name="Typ" localSheetId="11">#REF!</definedName>
    <definedName name="Typ" localSheetId="23">#REF!</definedName>
    <definedName name="Typ" localSheetId="24">#REF!</definedName>
    <definedName name="Typ" localSheetId="22">#REF!</definedName>
    <definedName name="Typ" localSheetId="25">#REF!</definedName>
    <definedName name="Typ" localSheetId="29">#REF!</definedName>
    <definedName name="Typ" localSheetId="27">#REF!</definedName>
    <definedName name="Typ" localSheetId="28">#REF!</definedName>
    <definedName name="Typ" localSheetId="12">#REF!</definedName>
    <definedName name="Typ" localSheetId="13">#REF!</definedName>
    <definedName name="Typ" localSheetId="14">#REF!</definedName>
    <definedName name="Typ" localSheetId="19">#REF!</definedName>
    <definedName name="Typ" localSheetId="30">#REF!</definedName>
    <definedName name="Typ" localSheetId="31">#REF!</definedName>
    <definedName name="Typ" localSheetId="32">#REF!</definedName>
    <definedName name="Typ" localSheetId="36">#REF!</definedName>
    <definedName name="Typ" localSheetId="35">#REF!</definedName>
    <definedName name="Typ" localSheetId="34">#REF!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2">#REF!</definedName>
    <definedName name="Typ" localSheetId="48">#REF!</definedName>
    <definedName name="Typ" localSheetId="49">#REF!</definedName>
    <definedName name="Typ" localSheetId="44">#REF!</definedName>
    <definedName name="Typ" localSheetId="45">#REF!</definedName>
    <definedName name="Typ" localSheetId="46">#REF!</definedName>
    <definedName name="Typ" localSheetId="47">#REF!</definedName>
    <definedName name="Typ" localSheetId="0">'[11]002-A.1. Archstav  reseni'!#REF!</definedName>
    <definedName name="Typ" localSheetId="18">#REF!</definedName>
    <definedName name="Typ" localSheetId="33">#REF!</definedName>
    <definedName name="Typ" localSheetId="43">#REF!</definedName>
    <definedName name="Typ" localSheetId="26">#REF!</definedName>
    <definedName name="Typ" localSheetId="1">#REF!</definedName>
    <definedName name="Typ">#REF!</definedName>
    <definedName name="v" localSheetId="10">'[8]Rekapitulace roz.  vč. kapitol'!#REF!</definedName>
    <definedName name="v" localSheetId="11">'[8]Rekapitulace roz.  vč. kapitol'!#REF!</definedName>
    <definedName name="v" localSheetId="23">'[8]Rekapitulace roz.  vč. kapitol'!#REF!</definedName>
    <definedName name="v" localSheetId="24">'[8]Rekapitulace roz.  vč. kapitol'!#REF!</definedName>
    <definedName name="v" localSheetId="22">'[8]Rekapitulace roz.  vč. kapitol'!#REF!</definedName>
    <definedName name="v" localSheetId="25">'[8]Rekapitulace roz.  vč. kapitol'!#REF!</definedName>
    <definedName name="v" localSheetId="29">'[8]Rekapitulace roz.  vč. kapitol'!#REF!</definedName>
    <definedName name="v" localSheetId="27">'[8]Rekapitulace roz.  vč. kapitol'!#REF!</definedName>
    <definedName name="v" localSheetId="28">'[8]Rekapitulace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9">'[8]Rekapitulace roz.  vč. kapitol'!#REF!</definedName>
    <definedName name="v" localSheetId="30">'[8]Rekapitulace roz.  vč. kapitol'!#REF!</definedName>
    <definedName name="v" localSheetId="31">'[8]Rekapitulace roz.  vč. kapitol'!#REF!</definedName>
    <definedName name="v" localSheetId="32">'[8]Rekapitulace roz.  vč. kapitol'!#REF!</definedName>
    <definedName name="v" localSheetId="36">'[8]Rekapitulace roz.  vč. kapitol'!#REF!</definedName>
    <definedName name="v" localSheetId="35">'[8]Rekapitulace roz.  vč. kapitol'!#REF!</definedName>
    <definedName name="v" localSheetId="34">'[8]Rekapitulace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2">'[8]Rekapitulace roz.  vč. kapitol'!#REF!</definedName>
    <definedName name="v" localSheetId="48">'[8]Rekapitulace roz.  vč. kapitol'!#REF!</definedName>
    <definedName name="v" localSheetId="49">'[8]Rekapitulace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18">'[8]Rekapitulace roz.  vč. kapitol'!#REF!</definedName>
    <definedName name="v" localSheetId="33">'[8]Rekapitulace roz.  vč. kapitol'!#REF!</definedName>
    <definedName name="v" localSheetId="43">'[8]Rekapitulace roz.  vč. kapitol'!#REF!</definedName>
    <definedName name="v" localSheetId="26">'[8]Rekapitulace roz.  vč. kapitol'!#REF!</definedName>
    <definedName name="v" localSheetId="21">'[8]Rekapitulace roz.  vč. kapitol'!#REF!</definedName>
    <definedName name="v" localSheetId="1">'[8]Rekapitulace roz.  vč. kapitol'!#REF!</definedName>
    <definedName name="v">'[8]Rekapitulace roz.  vč. kapitol'!#REF!</definedName>
    <definedName name="Values_Entered" localSheetId="10">IF('D.1.1.c.01. VÝPIS DVEŘÍ'!Loan_Amount*'D.1.1.c.01. VÝPIS DVEŘÍ'!Interest_Rate*'D.1.1.c.01. VÝPIS DVEŘÍ'!Loan_Years*'D.1.1.c.01. VÝPIS DVEŘÍ'!Loan_Start&gt;0,1,0)</definedName>
    <definedName name="Values_Entered" localSheetId="11">IF('D.1.4.1. ZTI'!Loan_Amount*'D.1.4.1. ZTI'!Interest_Rate*'D.1.4.1. ZTI'!Loan_Years*'D.1.4.1. ZTI'!Loan_Start&gt;0,1,0)</definedName>
    <definedName name="Values_Entered" localSheetId="23">IF('D.1.4.10.1. MOBILIÁŘ'!Loan_Amount*'D.1.4.10.1. MOBILIÁŘ'!Interest_Rate*'D.1.4.10.1. MOBILIÁŘ'!Loan_Years*'D.1.4.10.1. MOBILIÁŘ'!Loan_Start&gt;0,1,0)</definedName>
    <definedName name="Values_Entered" localSheetId="24">IF('D.1.4.10.1. OPLOCENÍ'!Loan_Amount*'D.1.4.10.1. OPLOCENÍ'!Interest_Rate*'D.1.4.10.1. OPLOCENÍ'!Loan_Years*'D.1.4.10.1. OPLOCENÍ'!Loan_Start&gt;0,1,0)</definedName>
    <definedName name="Values_Entered" localSheetId="22">IF('D.1.4.10.1. SADOVÉ ÚPRAVY'!Loan_Amount*'D.1.4.10.1. SADOVÉ ÚPRAVY'!Interest_Rate*'D.1.4.10.1. SADOVÉ ÚPRAVY'!Loan_Years*'D.1.4.10.1. SADOVÉ ÚPRAVY'!Loan_Start&gt;0,1,0)</definedName>
    <definedName name="Values_Entered" localSheetId="25">IF('D.1.4.10.2. ZP. PLOCHY A KOMUN.'!Loan_Amount*'D.1.4.10.2. ZP. PLOCHY A KOMUN.'!Interest_Rate*'D.1.4.10.2. ZP. PLOCHY A KOMUN.'!Loan_Years*'D.1.4.10.2. ZP. PLOCHY A KOMUN.'!Loan_Start&gt;0,1,0)</definedName>
    <definedName name="Values_Entered" localSheetId="29">IF('D.1.4.10.3. DROBNÁ ARCH. - KOL.'!Loan_Amount*'D.1.4.10.3. DROBNÁ ARCH. - KOL.'!Interest_Rate*'D.1.4.10.3. DROBNÁ ARCH. - KOL.'!Loan_Years*'D.1.4.10.3. DROBNÁ ARCH. - KOL.'!Loan_Start&gt;0,1,0)</definedName>
    <definedName name="Values_Entered" localSheetId="27">IF('D.1.4.10.3. DROBNÁ ARCH. - SKL.'!Loan_Amount*'D.1.4.10.3. DROBNÁ ARCH. - SKL.'!Interest_Rate*'D.1.4.10.3. DROBNÁ ARCH. - SKL.'!Loan_Years*'D.1.4.10.3. DROBNÁ ARCH. - SKL.'!Loan_Start&gt;0,1,0)</definedName>
    <definedName name="Values_Entered" localSheetId="28">IF('D.1.4.10.3. DROBNÁ ARCH. - ZÁZ.'!Loan_Amount*'D.1.4.10.3. DROBNÁ ARCH. - ZÁZ.'!Interest_Rate*'D.1.4.10.3. DROBNÁ ARCH. - ZÁZ.'!Loan_Years*'D.1.4.10.3. DROBNÁ ARCH. - ZÁZ.'!Loan_Start&gt;0,1,0)</definedName>
    <definedName name="Values_Entered" localSheetId="12">IF('D.1.4.2. ODBĚR. PLYN. ZAŘÍZ.'!Loan_Amount*'D.1.4.2. ODBĚR. PLYN. ZAŘÍZ.'!Interest_Rate*'D.1.4.2. ODBĚR. PLYN. ZAŘÍZ.'!Loan_Years*'D.1.4.2. ODBĚR. PLYN. ZAŘÍZ.'!Loan_Start&gt;0,1,0)</definedName>
    <definedName name="Values_Entered" localSheetId="13">IF('D.1.4.3. VZDUCHOTECHNIKA'!Loan_Amount*Interest_Rate*'D.1.4.3.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9">IF('D.1.4.8. EL. KOMUNIKACE'!Loan_Amount*'D.1.4.8. EL. KOMUNIKACE'!Interest_Rate*'D.1.4.8. EL. KOMUNIKACE'!Loan_Years*'D.1.4.8. EL. KOMUNIKACE'!Loan_Start&gt;0,1,0)</definedName>
    <definedName name="Values_Entered" localSheetId="30">IF('D.2.1. PŘÍPOJKA VODOVODU'!Loan_Amount*'D.2.1. PŘÍPOJKA VODOVODU'!Interest_Rate*'D.2.1. PŘÍPOJKA VODOVODU'!Loan_Years*'D.2.1. PŘÍPOJKA VODOVODU'!Loan_Start&gt;0,1,0)</definedName>
    <definedName name="Values_Entered" localSheetId="31">IF('D.2.1.1. AREÁLOVÝ VODOVOD'!Loan_Amount*'D.2.1.1. AREÁLOVÝ VODOVOD'!Interest_Rate*'D.2.1.1. AREÁLOVÝ VODOVOD'!Loan_Years*'D.2.1.1. AREÁLOVÝ VODOVOD'!Loan_Start&gt;0,1,0)</definedName>
    <definedName name="Values_Entered" localSheetId="32">IF('D.2.2. PŘÍPOJKA KANALIZACE'!Loan_Amount*'D.2.2. PŘÍPOJKA KANALIZACE'!Interest_Rate*'D.2.2. PŘÍPOJKA KANALIZACE'!Loan_Years*'D.2.2. PŘÍPOJKA KANALIZACE'!Loan_Start&gt;0,1,0)</definedName>
    <definedName name="Values_Entered" localSheetId="36">IF('D.2.3. AKUMULAČNÍ NÁDRŽ'!Loan_Amount*'D.2.3. AKUMULAČNÍ NÁDRŽ'!Interest_Rate*'D.2.3. AKUMULAČNÍ NÁDRŽ'!Loan_Years*'D.2.3. AKUMULAČNÍ NÁDRŽ'!Loan_Start&gt;0,1,0)</definedName>
    <definedName name="Values_Entered" localSheetId="35">IF('D.2.3. AREÁL DEŠŤOVÁ KANAL.'!Loan_Amount*'D.2.3. AREÁL DEŠŤOVÁ KANAL.'!Interest_Rate*'D.2.3. AREÁL DEŠŤOVÁ KANAL.'!Loan_Years*'D.2.3. AREÁL DEŠŤOVÁ KANAL.'!Loan_Start&gt;0,1,0)</definedName>
    <definedName name="Values_Entered" localSheetId="34">IF('D.2.3. AREÁL SPLAŠKOVÁ KANAL.'!Loan_Amount*'D.2.3. AREÁL SPLAŠKOVÁ KANAL.'!Interest_Rate*'D.2.3. AREÁL SPLAŠKOVÁ KANAL.'!Loan_Years*'D.2.3. AREÁL SPLAŠKOVÁ KANAL.'!Loan_Start&gt;0,1,0)</definedName>
    <definedName name="Values_Entered" localSheetId="37">IF('D.2.3. ČERPACÍ STANICE'!Loan_Amount*'D.2.3. ČERPACÍ STANICE'!Interest_Rate*'D.2.3. ČERPACÍ STANICE'!Loan_Years*'D.2.3. ČERPACÍ STANICE'!Loan_Start&gt;0,1,0)</definedName>
    <definedName name="Values_Entered" localSheetId="38">IF('D.2.3. VSAKOVACÍ NÁDRŽE'!Loan_Amount*'D.2.3. VSAKOVACÍ NÁDRŽE'!Interest_Rate*'D.2.3. VSAKOVACÍ NÁDRŽE'!Loan_Years*'D.2.3. VSAKOVACÍ NÁDRŽE'!Loan_Start&gt;0,1,0)</definedName>
    <definedName name="Values_Entered" localSheetId="39">IF('D.2.4. PŘELOŽKA STL PLYNOVODU'!Loan_Amount*'D.2.4. PŘELOŽKA STL PLYNOVODU'!Interest_Rate*'D.2.4. PŘELOŽKA STL PLYNOVODU'!Loan_Years*'D.2.4. PŘELOŽKA STL PLYNOVODU'!Loan_Start&gt;0,1,0)</definedName>
    <definedName name="Values_Entered" localSheetId="40">IF('D.2.5. PŘÍPOJKA NN'!Loan_Amount*'D.2.5. PŘÍPOJKA NN'!Interest_Rate*'D.2.5. PŘÍPOJKA NN'!Loan_Years*'D.2.5. PŘÍPOJKA NN'!Loan_Start&gt;0,1,0)</definedName>
    <definedName name="Values_Entered" localSheetId="41">IF('D.2.6. PŘÍPOJKA EL. KOMUNIKACE'!Loan_Amount*'D.2.6. PŘÍPOJKA EL. KOMUNIKACE'!Interest_Rate*'D.2.6. PŘÍPOJKA EL. KOMUNIKACE'!Loan_Years*'D.2.6. PŘÍPOJKA EL. KOMUNIKACE'!Loan_Start&gt;0,1,0)</definedName>
    <definedName name="Values_Entered" localSheetId="42">IF('D.2.7. AREÁL OSVĚTLENÍ - TR. A1'!Loan_Amount*'D.2.7. AREÁL OSVĚTLENÍ - TR. A1'!Interest_Rate*'D.2.7. AREÁL OSVĚTLENÍ - TR. A1'!Loan_Years*'D.2.7. AREÁL OSVĚTLENÍ - TR. A1'!Loan_Start&gt;0,1,0)</definedName>
    <definedName name="Values_Entered" localSheetId="48">IF('D.2.8. AREÁL VEDENÍ NN-TR.  NN5'!Loan_Amount*'D.2.8. AREÁL VEDENÍ NN-TR.  NN5'!Interest_Rate*'D.2.8. AREÁL VEDENÍ NN-TR.  NN5'!Loan_Years*'D.2.8. AREÁL VEDENÍ NN-TR.  NN5'!Loan_Start&gt;0,1,0)</definedName>
    <definedName name="Values_Entered" localSheetId="49">IF('D.2.8. AREÁL VEDENÍ NN-TR.  NN6'!Loan_Amount*'D.2.8. AREÁL VEDENÍ NN-TR.  NN6'!Interest_Rate*'D.2.8. AREÁL VEDENÍ NN-TR.  NN6'!Loan_Years*'D.2.8. AREÁL VEDENÍ NN-TR.  NN6'!Loan_Start&gt;0,1,0)</definedName>
    <definedName name="Values_Entered" localSheetId="44">IF('D.2.8. AREÁL VEDENÍ NN-TR. NN1 '!Loan_Amount*'D.2.8. AREÁL VEDENÍ NN-TR. NN1 '!Interest_Rate*'D.2.8. AREÁL VEDENÍ NN-TR. NN1 '!Loan_Years*'D.2.8. AREÁL VEDENÍ NN-TR. NN1 '!Loan_Start&gt;0,1,0)</definedName>
    <definedName name="Values_Entered" localSheetId="45">IF('D.2.8. AREÁL VEDENÍ NN-TR. NN2'!Loan_Amount*'D.2.8. AREÁL VEDENÍ NN-TR. NN2'!Interest_Rate*'D.2.8. AREÁL VEDENÍ NN-TR. NN2'!Loan_Years*'D.2.8. AREÁL VEDENÍ NN-TR. NN2'!Loan_Start&gt;0,1,0)</definedName>
    <definedName name="Values_Entered" localSheetId="46">IF('D.2.8. AREÁL VEDENÍ NN-TR. NN3'!Loan_Amount*'D.2.8. AREÁL VEDENÍ NN-TR. NN3'!Interest_Rate*'D.2.8. AREÁL VEDENÍ NN-TR. NN3'!Loan_Years*'D.2.8. AREÁL VEDENÍ NN-TR. NN3'!Loan_Start&gt;0,1,0)</definedName>
    <definedName name="Values_Entered" localSheetId="47">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8">IF(Loan_Amount*Interest_Rate*Loan_Years*Loan_Start&gt;0,1,0)</definedName>
    <definedName name="Values_Entered" localSheetId="33">IF('REKAPITULACE - AREÁL KAN'!Loan_Amount*'REKAPITULACE - AREÁL KAN'!Interest_Rate*'REKAPITULACE - AREÁL KAN'!Loan_Years*'REKAPITULACE - AREÁL KAN'!Loan_Start&gt;0,1,0)</definedName>
    <definedName name="Values_Entered" localSheetId="43">IF('REKAPITULACE - AREÁL NN'!Loan_Amount*'REKAPITULACE - AREÁL NN'!Interest_Rate*'REKAPITULACE - AREÁL NN'!Loan_Years*'REKAPITULACE - AREÁL NN'!Loan_Start&gt;0,1,0)</definedName>
    <definedName name="Values_Entered" localSheetId="26">IF('REKAPITULACE - DA'!Loan_Amount*Interest_Rate*Loan_Years*Loan_Start&gt;0,1,0)</definedName>
    <definedName name="Values_Entered" localSheetId="21">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11" hidden="1">{#N/A,#N/A,TRUE,"Krycí list"}</definedName>
    <definedName name="VIZA" localSheetId="23" hidden="1">{#N/A,#N/A,TRUE,"Krycí list"}</definedName>
    <definedName name="VIZA" localSheetId="24" hidden="1">{#N/A,#N/A,TRUE,"Krycí list"}</definedName>
    <definedName name="VIZA" localSheetId="22" hidden="1">{#N/A,#N/A,TRUE,"Krycí list"}</definedName>
    <definedName name="VIZA" localSheetId="25" hidden="1">{#N/A,#N/A,TRUE,"Krycí list"}</definedName>
    <definedName name="VIZA" localSheetId="29" hidden="1">{#N/A,#N/A,TRUE,"Krycí list"}</definedName>
    <definedName name="VIZA" localSheetId="27" hidden="1">{#N/A,#N/A,TRUE,"Krycí list"}</definedName>
    <definedName name="VIZA" localSheetId="28"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9" hidden="1">{#N/A,#N/A,TRUE,"Krycí list"}</definedName>
    <definedName name="VIZA" localSheetId="30" hidden="1">{#N/A,#N/A,TRUE,"Krycí list"}</definedName>
    <definedName name="VIZA" localSheetId="31" hidden="1">{#N/A,#N/A,TRUE,"Krycí list"}</definedName>
    <definedName name="VIZA" localSheetId="32"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42" hidden="1">{#N/A,#N/A,TRUE,"Krycí list"}</definedName>
    <definedName name="VIZA" localSheetId="0" hidden="1">{#N/A,#N/A,TRUE,"Krycí list"}</definedName>
    <definedName name="VIZA" localSheetId="18" hidden="1">{#N/A,#N/A,TRUE,"Krycí list"}</definedName>
    <definedName name="VIZA" localSheetId="33" hidden="1">{#N/A,#N/A,TRUE,"Krycí list"}</definedName>
    <definedName name="VIZA" localSheetId="43" hidden="1">{#N/A,#N/A,TRUE,"Krycí list"}</definedName>
    <definedName name="VIZA" localSheetId="26" hidden="1">{#N/A,#N/A,TRUE,"Krycí list"}</definedName>
    <definedName name="VIZA" localSheetId="21"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11" hidden="1">{#N/A,#N/A,TRUE,"Krycí list"}</definedName>
    <definedName name="VIZA12" localSheetId="23" hidden="1">{#N/A,#N/A,TRUE,"Krycí list"}</definedName>
    <definedName name="VIZA12" localSheetId="24" hidden="1">{#N/A,#N/A,TRUE,"Krycí list"}</definedName>
    <definedName name="VIZA12" localSheetId="22" hidden="1">{#N/A,#N/A,TRUE,"Krycí list"}</definedName>
    <definedName name="VIZA12" localSheetId="25" hidden="1">{#N/A,#N/A,TRUE,"Krycí list"}</definedName>
    <definedName name="VIZA12" localSheetId="29" hidden="1">{#N/A,#N/A,TRUE,"Krycí list"}</definedName>
    <definedName name="VIZA12" localSheetId="27" hidden="1">{#N/A,#N/A,TRUE,"Krycí list"}</definedName>
    <definedName name="VIZA12" localSheetId="28"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9" hidden="1">{#N/A,#N/A,TRUE,"Krycí list"}</definedName>
    <definedName name="VIZA12" localSheetId="30" hidden="1">{#N/A,#N/A,TRUE,"Krycí list"}</definedName>
    <definedName name="VIZA12" localSheetId="31" hidden="1">{#N/A,#N/A,TRUE,"Krycí list"}</definedName>
    <definedName name="VIZA12" localSheetId="32"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42" hidden="1">{#N/A,#N/A,TRUE,"Krycí list"}</definedName>
    <definedName name="VIZA12" localSheetId="0" hidden="1">{#N/A,#N/A,TRUE,"Krycí list"}</definedName>
    <definedName name="VIZA12" localSheetId="18" hidden="1">{#N/A,#N/A,TRUE,"Krycí list"}</definedName>
    <definedName name="VIZA12" localSheetId="33" hidden="1">{#N/A,#N/A,TRUE,"Krycí list"}</definedName>
    <definedName name="VIZA12" localSheetId="43" hidden="1">{#N/A,#N/A,TRUE,"Krycí list"}</definedName>
    <definedName name="VIZA12" localSheetId="26" hidden="1">{#N/A,#N/A,TRUE,"Krycí list"}</definedName>
    <definedName name="VIZA12" localSheetId="21" hidden="1">{#N/A,#N/A,TRUE,"Krycí list"}</definedName>
    <definedName name="VIZA12" localSheetId="1" hidden="1">{#N/A,#N/A,TRUE,"Krycí list"}</definedName>
    <definedName name="VIZA12" hidden="1">{#N/A,#N/A,TRUE,"Krycí list"}</definedName>
    <definedName name="VRN" localSheetId="10">#REF!</definedName>
    <definedName name="VRN" localSheetId="11">#REF!</definedName>
    <definedName name="VRN" localSheetId="23">#REF!</definedName>
    <definedName name="VRN" localSheetId="24">#REF!</definedName>
    <definedName name="VRN" localSheetId="22">#REF!</definedName>
    <definedName name="VRN" localSheetId="25">#REF!</definedName>
    <definedName name="VRN" localSheetId="29">#REF!</definedName>
    <definedName name="VRN" localSheetId="27">#REF!</definedName>
    <definedName name="VRN" localSheetId="28">#REF!</definedName>
    <definedName name="VRN" localSheetId="12">#REF!</definedName>
    <definedName name="VRN" localSheetId="13">#REF!</definedName>
    <definedName name="VRN" localSheetId="14">#REF!</definedName>
    <definedName name="VRN" localSheetId="19">#REF!</definedName>
    <definedName name="VRN" localSheetId="30">#REF!</definedName>
    <definedName name="VRN" localSheetId="31">#REF!</definedName>
    <definedName name="VRN" localSheetId="32">#REF!</definedName>
    <definedName name="VRN" localSheetId="36">#REF!</definedName>
    <definedName name="VRN" localSheetId="35">#REF!</definedName>
    <definedName name="VRN" localSheetId="34">#REF!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2">#REF!</definedName>
    <definedName name="VRN" localSheetId="48">#REF!</definedName>
    <definedName name="VRN" localSheetId="49">#REF!</definedName>
    <definedName name="VRN" localSheetId="44">#REF!</definedName>
    <definedName name="VRN" localSheetId="45">#REF!</definedName>
    <definedName name="VRN" localSheetId="46">#REF!</definedName>
    <definedName name="VRN" localSheetId="47">#REF!</definedName>
    <definedName name="VRN" localSheetId="0">#REF!</definedName>
    <definedName name="VRN" localSheetId="18">#REF!</definedName>
    <definedName name="VRN" localSheetId="33">#REF!</definedName>
    <definedName name="VRN" localSheetId="43">#REF!</definedName>
    <definedName name="VRN" localSheetId="26">#REF!</definedName>
    <definedName name="VRN" localSheetId="21">#REF!</definedName>
    <definedName name="VRN" localSheetId="1">#REF!</definedName>
    <definedName name="VRN">#REF!</definedName>
    <definedName name="VRNKc" localSheetId="10">#REF!</definedName>
    <definedName name="VRNKc" localSheetId="11">#REF!</definedName>
    <definedName name="VRNKc" localSheetId="23">#REF!</definedName>
    <definedName name="VRNKc" localSheetId="24">#REF!</definedName>
    <definedName name="VRNKc" localSheetId="22">#REF!</definedName>
    <definedName name="VRNKc" localSheetId="25">#REF!</definedName>
    <definedName name="VRNKc" localSheetId="29">#REF!</definedName>
    <definedName name="VRNKc" localSheetId="27">#REF!</definedName>
    <definedName name="VRNKc" localSheetId="28">#REF!</definedName>
    <definedName name="VRNKc" localSheetId="12">#REF!</definedName>
    <definedName name="VRNKc" localSheetId="13">#REF!</definedName>
    <definedName name="VRNKc" localSheetId="14">#REF!</definedName>
    <definedName name="VRNKc" localSheetId="19">#REF!</definedName>
    <definedName name="VRNKc" localSheetId="30">#REF!</definedName>
    <definedName name="VRNKc" localSheetId="31">#REF!</definedName>
    <definedName name="VRNKc" localSheetId="32">#REF!</definedName>
    <definedName name="VRNKc" localSheetId="36">#REF!</definedName>
    <definedName name="VRNKc" localSheetId="35">#REF!</definedName>
    <definedName name="VRNKc" localSheetId="34">#REF!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2">#REF!</definedName>
    <definedName name="VRNKc" localSheetId="48">#REF!</definedName>
    <definedName name="VRNKc" localSheetId="49">#REF!</definedName>
    <definedName name="VRNKc" localSheetId="44">#REF!</definedName>
    <definedName name="VRNKc" localSheetId="45">#REF!</definedName>
    <definedName name="VRNKc" localSheetId="46">#REF!</definedName>
    <definedName name="VRNKc" localSheetId="47">#REF!</definedName>
    <definedName name="VRNKc" localSheetId="0">#REF!</definedName>
    <definedName name="VRNKc" localSheetId="18">#REF!</definedName>
    <definedName name="VRNKc" localSheetId="33">#REF!</definedName>
    <definedName name="VRNKc" localSheetId="43">#REF!</definedName>
    <definedName name="VRNKc" localSheetId="26">#REF!</definedName>
    <definedName name="VRNKc" localSheetId="21">#REF!</definedName>
    <definedName name="VRNKc" localSheetId="1">#REF!</definedName>
    <definedName name="VRNKc">#REF!</definedName>
    <definedName name="VRNnazev" localSheetId="10">#REF!</definedName>
    <definedName name="VRNnazev" localSheetId="11">#REF!</definedName>
    <definedName name="VRNnazev" localSheetId="23">#REF!</definedName>
    <definedName name="VRNnazev" localSheetId="24">#REF!</definedName>
    <definedName name="VRNnazev" localSheetId="22">#REF!</definedName>
    <definedName name="VRNnazev" localSheetId="25">#REF!</definedName>
    <definedName name="VRNnazev" localSheetId="29">#REF!</definedName>
    <definedName name="VRNnazev" localSheetId="27">#REF!</definedName>
    <definedName name="VRNnazev" localSheetId="28">#REF!</definedName>
    <definedName name="VRNnazev" localSheetId="12">#REF!</definedName>
    <definedName name="VRNnazev" localSheetId="13">#REF!</definedName>
    <definedName name="VRNnazev" localSheetId="14">#REF!</definedName>
    <definedName name="VRNnazev" localSheetId="19">#REF!</definedName>
    <definedName name="VRNnazev" localSheetId="30">#REF!</definedName>
    <definedName name="VRNnazev" localSheetId="31">#REF!</definedName>
    <definedName name="VRNnazev" localSheetId="32">#REF!</definedName>
    <definedName name="VRNnazev" localSheetId="36">#REF!</definedName>
    <definedName name="VRNnazev" localSheetId="35">#REF!</definedName>
    <definedName name="VRNnazev" localSheetId="34">#REF!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2">#REF!</definedName>
    <definedName name="VRNnazev" localSheetId="48">#REF!</definedName>
    <definedName name="VRNnazev" localSheetId="49">#REF!</definedName>
    <definedName name="VRNnazev" localSheetId="44">#REF!</definedName>
    <definedName name="VRNnazev" localSheetId="45">#REF!</definedName>
    <definedName name="VRNnazev" localSheetId="46">#REF!</definedName>
    <definedName name="VRNnazev" localSheetId="47">#REF!</definedName>
    <definedName name="VRNnazev" localSheetId="0">#REF!</definedName>
    <definedName name="VRNnazev" localSheetId="18">#REF!</definedName>
    <definedName name="VRNnazev" localSheetId="33">#REF!</definedName>
    <definedName name="VRNnazev" localSheetId="43">#REF!</definedName>
    <definedName name="VRNnazev" localSheetId="26">#REF!</definedName>
    <definedName name="VRNnazev" localSheetId="21">#REF!</definedName>
    <definedName name="VRNnazev" localSheetId="1">#REF!</definedName>
    <definedName name="VRNnazev">#REF!</definedName>
    <definedName name="VRNproc" localSheetId="10">#REF!</definedName>
    <definedName name="VRNproc" localSheetId="11">#REF!</definedName>
    <definedName name="VRNproc" localSheetId="23">#REF!</definedName>
    <definedName name="VRNproc" localSheetId="24">#REF!</definedName>
    <definedName name="VRNproc" localSheetId="22">#REF!</definedName>
    <definedName name="VRNproc" localSheetId="25">#REF!</definedName>
    <definedName name="VRNproc" localSheetId="29">#REF!</definedName>
    <definedName name="VRNproc" localSheetId="27">#REF!</definedName>
    <definedName name="VRNproc" localSheetId="28">#REF!</definedName>
    <definedName name="VRNproc" localSheetId="12">#REF!</definedName>
    <definedName name="VRNproc" localSheetId="14">#REF!</definedName>
    <definedName name="VRNproc" localSheetId="19">#REF!</definedName>
    <definedName name="VRNproc" localSheetId="30">#REF!</definedName>
    <definedName name="VRNproc" localSheetId="31">#REF!</definedName>
    <definedName name="VRNproc" localSheetId="32">#REF!</definedName>
    <definedName name="VRNproc" localSheetId="36">#REF!</definedName>
    <definedName name="VRNproc" localSheetId="35">#REF!</definedName>
    <definedName name="VRNproc" localSheetId="34">#REF!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2">#REF!</definedName>
    <definedName name="VRNproc" localSheetId="48">#REF!</definedName>
    <definedName name="VRNproc" localSheetId="49">#REF!</definedName>
    <definedName name="VRNproc" localSheetId="44">#REF!</definedName>
    <definedName name="VRNproc" localSheetId="45">#REF!</definedName>
    <definedName name="VRNproc" localSheetId="46">#REF!</definedName>
    <definedName name="VRNproc" localSheetId="47">#REF!</definedName>
    <definedName name="VRNproc" localSheetId="0">#REF!</definedName>
    <definedName name="VRNproc" localSheetId="33">#REF!</definedName>
    <definedName name="VRNproc" localSheetId="43">#REF!</definedName>
    <definedName name="VRNproc" localSheetId="1">#REF!</definedName>
    <definedName name="VRNproc">#REF!</definedName>
    <definedName name="VRNzakl" localSheetId="10">#REF!</definedName>
    <definedName name="VRNzakl" localSheetId="11">#REF!</definedName>
    <definedName name="VRNzakl" localSheetId="23">#REF!</definedName>
    <definedName name="VRNzakl" localSheetId="24">#REF!</definedName>
    <definedName name="VRNzakl" localSheetId="22">#REF!</definedName>
    <definedName name="VRNzakl" localSheetId="25">#REF!</definedName>
    <definedName name="VRNzakl" localSheetId="29">#REF!</definedName>
    <definedName name="VRNzakl" localSheetId="27">#REF!</definedName>
    <definedName name="VRNzakl" localSheetId="28">#REF!</definedName>
    <definedName name="VRNzakl" localSheetId="12">#REF!</definedName>
    <definedName name="VRNzakl" localSheetId="14">#REF!</definedName>
    <definedName name="VRNzakl" localSheetId="19">#REF!</definedName>
    <definedName name="VRNzakl" localSheetId="30">#REF!</definedName>
    <definedName name="VRNzakl" localSheetId="31">#REF!</definedName>
    <definedName name="VRNzakl" localSheetId="32">#REF!</definedName>
    <definedName name="VRNzakl" localSheetId="36">#REF!</definedName>
    <definedName name="VRNzakl" localSheetId="35">#REF!</definedName>
    <definedName name="VRNzakl" localSheetId="34">#REF!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2">#REF!</definedName>
    <definedName name="VRNzakl" localSheetId="48">#REF!</definedName>
    <definedName name="VRNzakl" localSheetId="49">#REF!</definedName>
    <definedName name="VRNzakl" localSheetId="44">#REF!</definedName>
    <definedName name="VRNzakl" localSheetId="45">#REF!</definedName>
    <definedName name="VRNzakl" localSheetId="46">#REF!</definedName>
    <definedName name="VRNzakl" localSheetId="47">#REF!</definedName>
    <definedName name="VRNzakl" localSheetId="0">#REF!</definedName>
    <definedName name="VRNzakl" localSheetId="33">#REF!</definedName>
    <definedName name="VRNzakl" localSheetId="43">#REF!</definedName>
    <definedName name="VRNzakl" localSheetId="1">#REF!</definedName>
    <definedName name="VRNzakl">#REF!</definedName>
    <definedName name="výpočty" localSheetId="10">#REF!</definedName>
    <definedName name="výpočty" localSheetId="11">#REF!</definedName>
    <definedName name="výpočty" localSheetId="23">#REF!</definedName>
    <definedName name="výpočty" localSheetId="24">#REF!</definedName>
    <definedName name="výpočty" localSheetId="22">#REF!</definedName>
    <definedName name="výpočty" localSheetId="25">#REF!</definedName>
    <definedName name="výpočty" localSheetId="29">#REF!</definedName>
    <definedName name="výpočty" localSheetId="27">#REF!</definedName>
    <definedName name="výpočty" localSheetId="28">#REF!</definedName>
    <definedName name="výpočty" localSheetId="12">#REF!</definedName>
    <definedName name="výpočty" localSheetId="14">#REF!</definedName>
    <definedName name="výpočty" localSheetId="19">#REF!</definedName>
    <definedName name="výpočty" localSheetId="30">#REF!</definedName>
    <definedName name="výpočty" localSheetId="31">#REF!</definedName>
    <definedName name="výpočty" localSheetId="32">#REF!</definedName>
    <definedName name="výpočty" localSheetId="36">#REF!</definedName>
    <definedName name="výpočty" localSheetId="35">#REF!</definedName>
    <definedName name="výpočty" localSheetId="34">#REF!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2">#REF!</definedName>
    <definedName name="výpočty" localSheetId="48">#REF!</definedName>
    <definedName name="výpočty" localSheetId="49">#REF!</definedName>
    <definedName name="výpočty" localSheetId="44">#REF!</definedName>
    <definedName name="výpočty" localSheetId="45">#REF!</definedName>
    <definedName name="výpočty" localSheetId="46">#REF!</definedName>
    <definedName name="výpočty" localSheetId="47">#REF!</definedName>
    <definedName name="výpočty" localSheetId="33">#REF!</definedName>
    <definedName name="výpočty" localSheetId="43">#REF!</definedName>
    <definedName name="výpočty" localSheetId="1">#REF!</definedName>
    <definedName name="výpočty">#REF!</definedName>
    <definedName name="vystup" localSheetId="10">#REF!</definedName>
    <definedName name="vystup" localSheetId="11">#REF!</definedName>
    <definedName name="vystup" localSheetId="23">#REF!</definedName>
    <definedName name="vystup" localSheetId="24">#REF!</definedName>
    <definedName name="vystup" localSheetId="22">#REF!</definedName>
    <definedName name="vystup" localSheetId="25">#REF!</definedName>
    <definedName name="vystup" localSheetId="29">#REF!</definedName>
    <definedName name="vystup" localSheetId="27">#REF!</definedName>
    <definedName name="vystup" localSheetId="28">#REF!</definedName>
    <definedName name="vystup" localSheetId="12">#REF!</definedName>
    <definedName name="vystup" localSheetId="14">#REF!</definedName>
    <definedName name="vystup" localSheetId="19">#REF!</definedName>
    <definedName name="vystup" localSheetId="30">#REF!</definedName>
    <definedName name="vystup" localSheetId="31">#REF!</definedName>
    <definedName name="vystup" localSheetId="32">#REF!</definedName>
    <definedName name="vystup" localSheetId="36">#REF!</definedName>
    <definedName name="vystup" localSheetId="35">#REF!</definedName>
    <definedName name="vystup" localSheetId="34">#REF!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2">#REF!</definedName>
    <definedName name="vystup" localSheetId="48">#REF!</definedName>
    <definedName name="vystup" localSheetId="49">#REF!</definedName>
    <definedName name="vystup" localSheetId="44">#REF!</definedName>
    <definedName name="vystup" localSheetId="45">#REF!</definedName>
    <definedName name="vystup" localSheetId="46">#REF!</definedName>
    <definedName name="vystup" localSheetId="47">#REF!</definedName>
    <definedName name="vystup" localSheetId="33">#REF!</definedName>
    <definedName name="vystup" localSheetId="43">#REF!</definedName>
    <definedName name="vystup" localSheetId="1">#REF!</definedName>
    <definedName name="vystup">#REF!</definedName>
    <definedName name="vzduchna" localSheetId="10" hidden="1">{#N/A,#N/A,TRUE,"Krycí list"}</definedName>
    <definedName name="vzduchna" localSheetId="11" hidden="1">{#N/A,#N/A,TRUE,"Krycí list"}</definedName>
    <definedName name="vzduchna" localSheetId="23" hidden="1">{#N/A,#N/A,TRUE,"Krycí list"}</definedName>
    <definedName name="vzduchna" localSheetId="24" hidden="1">{#N/A,#N/A,TRUE,"Krycí list"}</definedName>
    <definedName name="vzduchna" localSheetId="22" hidden="1">{#N/A,#N/A,TRUE,"Krycí list"}</definedName>
    <definedName name="vzduchna" localSheetId="25" hidden="1">{#N/A,#N/A,TRUE,"Krycí list"}</definedName>
    <definedName name="vzduchna" localSheetId="29" hidden="1">{#N/A,#N/A,TRUE,"Krycí list"}</definedName>
    <definedName name="vzduchna" localSheetId="27" hidden="1">{#N/A,#N/A,TRUE,"Krycí list"}</definedName>
    <definedName name="vzduchna" localSheetId="28"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9" hidden="1">{#N/A,#N/A,TRUE,"Krycí list"}</definedName>
    <definedName name="vzduchna" localSheetId="30" hidden="1">{#N/A,#N/A,TRUE,"Krycí list"}</definedName>
    <definedName name="vzduchna" localSheetId="31" hidden="1">{#N/A,#N/A,TRUE,"Krycí list"}</definedName>
    <definedName name="vzduchna" localSheetId="32"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42" hidden="1">{#N/A,#N/A,TRUE,"Krycí list"}</definedName>
    <definedName name="vzduchna" localSheetId="0" hidden="1">{#N/A,#N/A,TRUE,"Krycí list"}</definedName>
    <definedName name="vzduchna" localSheetId="18" hidden="1">{#N/A,#N/A,TRUE,"Krycí list"}</definedName>
    <definedName name="vzduchna" localSheetId="33" hidden="1">{#N/A,#N/A,TRUE,"Krycí list"}</definedName>
    <definedName name="vzduchna" localSheetId="43" hidden="1">{#N/A,#N/A,TRUE,"Krycí list"}</definedName>
    <definedName name="vzduchna" localSheetId="26" hidden="1">{#N/A,#N/A,TRUE,"Krycí list"}</definedName>
    <definedName name="vzduchna" localSheetId="21"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11" hidden="1">{#N/A,#N/A,TRUE,"Krycí list"}</definedName>
    <definedName name="Weak" localSheetId="23" hidden="1">{#N/A,#N/A,TRUE,"Krycí list"}</definedName>
    <definedName name="Weak" localSheetId="24" hidden="1">{#N/A,#N/A,TRUE,"Krycí list"}</definedName>
    <definedName name="Weak" localSheetId="22" hidden="1">{#N/A,#N/A,TRUE,"Krycí list"}</definedName>
    <definedName name="Weak" localSheetId="25" hidden="1">{#N/A,#N/A,TRUE,"Krycí list"}</definedName>
    <definedName name="Weak" localSheetId="29" hidden="1">{#N/A,#N/A,TRUE,"Krycí list"}</definedName>
    <definedName name="Weak" localSheetId="27" hidden="1">{#N/A,#N/A,TRUE,"Krycí list"}</definedName>
    <definedName name="Weak" localSheetId="28"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9" hidden="1">{#N/A,#N/A,TRUE,"Krycí list"}</definedName>
    <definedName name="Weak" localSheetId="30" hidden="1">{#N/A,#N/A,TRUE,"Krycí list"}</definedName>
    <definedName name="Weak" localSheetId="31" hidden="1">{#N/A,#N/A,TRUE,"Krycí list"}</definedName>
    <definedName name="Weak" localSheetId="32"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42" hidden="1">{#N/A,#N/A,TRUE,"Krycí list"}</definedName>
    <definedName name="Weak" localSheetId="0" hidden="1">{#N/A,#N/A,TRUE,"Krycí list"}</definedName>
    <definedName name="Weak" localSheetId="18" hidden="1">{#N/A,#N/A,TRUE,"Krycí list"}</definedName>
    <definedName name="Weak" localSheetId="33" hidden="1">{#N/A,#N/A,TRUE,"Krycí list"}</definedName>
    <definedName name="Weak" localSheetId="43" hidden="1">{#N/A,#N/A,TRUE,"Krycí list"}</definedName>
    <definedName name="Weak" localSheetId="26" hidden="1">{#N/A,#N/A,TRUE,"Krycí list"}</definedName>
    <definedName name="Weak" localSheetId="21"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11" hidden="1">{#N/A,#N/A,TRUE,"Krycí list"}</definedName>
    <definedName name="wrn.Kontrolní._.rozpočet." localSheetId="23" hidden="1">{#N/A,#N/A,TRUE,"Krycí list"}</definedName>
    <definedName name="wrn.Kontrolní._.rozpočet." localSheetId="24" hidden="1">{#N/A,#N/A,TRUE,"Krycí list"}</definedName>
    <definedName name="wrn.Kontrolní._.rozpočet." localSheetId="22" hidden="1">{#N/A,#N/A,TRUE,"Krycí list"}</definedName>
    <definedName name="wrn.Kontrolní._.rozpočet." localSheetId="25" hidden="1">{#N/A,#N/A,TRUE,"Krycí list"}</definedName>
    <definedName name="wrn.Kontrolní._.rozpočet." localSheetId="29" hidden="1">{#N/A,#N/A,TRUE,"Krycí list"}</definedName>
    <definedName name="wrn.Kontrolní._.rozpočet." localSheetId="27" hidden="1">{#N/A,#N/A,TRUE,"Krycí list"}</definedName>
    <definedName name="wrn.Kontrolní._.rozpočet." localSheetId="28"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9" hidden="1">{#N/A,#N/A,TRUE,"Krycí list"}</definedName>
    <definedName name="wrn.Kontrolní._.rozpočet." localSheetId="30" hidden="1">{#N/A,#N/A,TRUE,"Krycí list"}</definedName>
    <definedName name="wrn.Kontrolní._.rozpočet." localSheetId="31" hidden="1">{#N/A,#N/A,TRUE,"Krycí list"}</definedName>
    <definedName name="wrn.Kontrolní._.rozpočet." localSheetId="32"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42" hidden="1">{#N/A,#N/A,TRUE,"Krycí list"}</definedName>
    <definedName name="wrn.Kontrolní._.rozpočet." localSheetId="0" hidden="1">{#N/A,#N/A,TRUE,"Krycí list"}</definedName>
    <definedName name="wrn.Kontrolní._.rozpočet." localSheetId="18" hidden="1">{#N/A,#N/A,TRUE,"Krycí list"}</definedName>
    <definedName name="wrn.Kontrolní._.rozpočet." localSheetId="33" hidden="1">{#N/A,#N/A,TRUE,"Krycí list"}</definedName>
    <definedName name="wrn.Kontrolní._.rozpočet." localSheetId="43" hidden="1">{#N/A,#N/A,TRUE,"Krycí list"}</definedName>
    <definedName name="wrn.Kontrolní._.rozpočet." localSheetId="26" hidden="1">{#N/A,#N/A,TRUE,"Krycí list"}</definedName>
    <definedName name="wrn.Kontrolní._.rozpočet." localSheetId="21"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11" hidden="1">{#N/A,#N/A,TRUE,"Krycí list"}</definedName>
    <definedName name="wrn.Kontrolní._.rozpoeet." localSheetId="23" hidden="1">{#N/A,#N/A,TRUE,"Krycí list"}</definedName>
    <definedName name="wrn.Kontrolní._.rozpoeet." localSheetId="24" hidden="1">{#N/A,#N/A,TRUE,"Krycí list"}</definedName>
    <definedName name="wrn.Kontrolní._.rozpoeet." localSheetId="22" hidden="1">{#N/A,#N/A,TRUE,"Krycí list"}</definedName>
    <definedName name="wrn.Kontrolní._.rozpoeet." localSheetId="25" hidden="1">{#N/A,#N/A,TRUE,"Krycí list"}</definedName>
    <definedName name="wrn.Kontrolní._.rozpoeet." localSheetId="29" hidden="1">{#N/A,#N/A,TRUE,"Krycí list"}</definedName>
    <definedName name="wrn.Kontrolní._.rozpoeet." localSheetId="27" hidden="1">{#N/A,#N/A,TRUE,"Krycí list"}</definedName>
    <definedName name="wrn.Kontrolní._.rozpoeet." localSheetId="28"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9" hidden="1">{#N/A,#N/A,TRUE,"Krycí list"}</definedName>
    <definedName name="wrn.Kontrolní._.rozpoeet." localSheetId="30" hidden="1">{#N/A,#N/A,TRUE,"Krycí list"}</definedName>
    <definedName name="wrn.Kontrolní._.rozpoeet." localSheetId="31" hidden="1">{#N/A,#N/A,TRUE,"Krycí list"}</definedName>
    <definedName name="wrn.Kontrolní._.rozpoeet." localSheetId="32"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42" hidden="1">{#N/A,#N/A,TRUE,"Krycí list"}</definedName>
    <definedName name="wrn.Kontrolní._.rozpoeet." localSheetId="0" hidden="1">{#N/A,#N/A,TRUE,"Krycí list"}</definedName>
    <definedName name="wrn.Kontrolní._.rozpoeet." localSheetId="18" hidden="1">{#N/A,#N/A,TRUE,"Krycí list"}</definedName>
    <definedName name="wrn.Kontrolní._.rozpoeet." localSheetId="33" hidden="1">{#N/A,#N/A,TRUE,"Krycí list"}</definedName>
    <definedName name="wrn.Kontrolní._.rozpoeet." localSheetId="43" hidden="1">{#N/A,#N/A,TRUE,"Krycí list"}</definedName>
    <definedName name="wrn.Kontrolní._.rozpoeet." localSheetId="26" hidden="1">{#N/A,#N/A,TRUE,"Krycí list"}</definedName>
    <definedName name="wrn.Kontrolní._.rozpoeet." localSheetId="21" hidden="1">{#N/A,#N/A,TRUE,"Krycí list"}</definedName>
    <definedName name="wrn.Kontrolní._.rozpoeet." localSheetId="1" hidden="1">{#N/A,#N/A,TRUE,"Krycí list"}</definedName>
    <definedName name="wrn.Kontrolní._.rozpoeet." hidden="1">{#N/A,#N/A,TRUE,"Krycí list"}</definedName>
    <definedName name="y" localSheetId="11">#REF!</definedName>
    <definedName name="y" localSheetId="25">#REF!</definedName>
    <definedName name="y" localSheetId="12">#REF!</definedName>
    <definedName name="y" localSheetId="14">#REF!</definedName>
    <definedName name="y" localSheetId="30">#REF!</definedName>
    <definedName name="y" localSheetId="31">#REF!</definedName>
    <definedName name="y" localSheetId="32">#REF!</definedName>
    <definedName name="y">#REF!</definedName>
    <definedName name="Z" localSheetId="10">#REF!</definedName>
    <definedName name="Z" localSheetId="11">#REF!</definedName>
    <definedName name="Z" localSheetId="24">#REF!</definedName>
    <definedName name="Z" localSheetId="25">#REF!</definedName>
    <definedName name="Z" localSheetId="29">#REF!</definedName>
    <definedName name="Z" localSheetId="27">#REF!</definedName>
    <definedName name="Z" localSheetId="28">#REF!</definedName>
    <definedName name="Z" localSheetId="12">#REF!</definedName>
    <definedName name="Z" localSheetId="13">#REF!</definedName>
    <definedName name="Z" localSheetId="14">#REF!</definedName>
    <definedName name="Z" localSheetId="19">#REF!</definedName>
    <definedName name="Z" localSheetId="30">#REF!</definedName>
    <definedName name="Z" localSheetId="31">#REF!</definedName>
    <definedName name="Z" localSheetId="32">#REF!</definedName>
    <definedName name="Z" localSheetId="36">#REF!</definedName>
    <definedName name="Z" localSheetId="37">#REF!</definedName>
    <definedName name="Z" localSheetId="38">#REF!</definedName>
    <definedName name="Z" localSheetId="26">#REF!</definedName>
    <definedName name="Z">#REF!</definedName>
    <definedName name="zahrnsazby" localSheetId="10">#REF!</definedName>
    <definedName name="zahrnsazby" localSheetId="11">#REF!</definedName>
    <definedName name="zahrnsazby" localSheetId="23">#REF!</definedName>
    <definedName name="zahrnsazby" localSheetId="24">#REF!</definedName>
    <definedName name="zahrnsazby" localSheetId="22">#REF!</definedName>
    <definedName name="zahrnsazby" localSheetId="25">#REF!</definedName>
    <definedName name="zahrnsazby" localSheetId="29">#REF!</definedName>
    <definedName name="zahrnsazby" localSheetId="27">#REF!</definedName>
    <definedName name="zahrnsazby" localSheetId="28">#REF!</definedName>
    <definedName name="zahrnsazby" localSheetId="12">#REF!</definedName>
    <definedName name="zahrnsazby" localSheetId="13">#REF!</definedName>
    <definedName name="zahrnsazby" localSheetId="14">#REF!</definedName>
    <definedName name="zahrnsazby" localSheetId="19">#REF!</definedName>
    <definedName name="zahrnsazby" localSheetId="30">#REF!</definedName>
    <definedName name="zahrnsazby" localSheetId="31">#REF!</definedName>
    <definedName name="zahrnsazby" localSheetId="32">#REF!</definedName>
    <definedName name="zahrnsazby" localSheetId="36">#REF!</definedName>
    <definedName name="zahrnsazby" localSheetId="35">#REF!</definedName>
    <definedName name="zahrnsazby" localSheetId="34">#REF!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2">#REF!</definedName>
    <definedName name="zahrnsazby" localSheetId="48">#REF!</definedName>
    <definedName name="zahrnsazby" localSheetId="49">#REF!</definedName>
    <definedName name="zahrnsazby" localSheetId="44">#REF!</definedName>
    <definedName name="zahrnsazby" localSheetId="45">#REF!</definedName>
    <definedName name="zahrnsazby" localSheetId="46">#REF!</definedName>
    <definedName name="zahrnsazby" localSheetId="47">#REF!</definedName>
    <definedName name="zahrnsazby" localSheetId="18">#REF!</definedName>
    <definedName name="zahrnsazby" localSheetId="33">#REF!</definedName>
    <definedName name="zahrnsazby" localSheetId="43">#REF!</definedName>
    <definedName name="zahrnsazby" localSheetId="26">#REF!</definedName>
    <definedName name="zahrnsazby" localSheetId="21">#REF!</definedName>
    <definedName name="zahrnsazby" localSheetId="1">#REF!</definedName>
    <definedName name="zahrnsazby">#REF!</definedName>
    <definedName name="zahrnslevy" localSheetId="10">#REF!</definedName>
    <definedName name="zahrnslevy" localSheetId="11">#REF!</definedName>
    <definedName name="zahrnslevy" localSheetId="23">#REF!</definedName>
    <definedName name="zahrnslevy" localSheetId="24">#REF!</definedName>
    <definedName name="zahrnslevy" localSheetId="22">#REF!</definedName>
    <definedName name="zahrnslevy" localSheetId="25">#REF!</definedName>
    <definedName name="zahrnslevy" localSheetId="29">#REF!</definedName>
    <definedName name="zahrnslevy" localSheetId="27">#REF!</definedName>
    <definedName name="zahrnslevy" localSheetId="28">#REF!</definedName>
    <definedName name="zahrnslevy" localSheetId="12">#REF!</definedName>
    <definedName name="zahrnslevy" localSheetId="13">#REF!</definedName>
    <definedName name="zahrnslevy" localSheetId="14">#REF!</definedName>
    <definedName name="zahrnslevy" localSheetId="19">#REF!</definedName>
    <definedName name="zahrnslevy" localSheetId="30">#REF!</definedName>
    <definedName name="zahrnslevy" localSheetId="31">#REF!</definedName>
    <definedName name="zahrnslevy" localSheetId="32">#REF!</definedName>
    <definedName name="zahrnslevy" localSheetId="36">#REF!</definedName>
    <definedName name="zahrnslevy" localSheetId="35">#REF!</definedName>
    <definedName name="zahrnslevy" localSheetId="34">#REF!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2">#REF!</definedName>
    <definedName name="zahrnslevy" localSheetId="48">#REF!</definedName>
    <definedName name="zahrnslevy" localSheetId="49">#REF!</definedName>
    <definedName name="zahrnslevy" localSheetId="44">#REF!</definedName>
    <definedName name="zahrnslevy" localSheetId="45">#REF!</definedName>
    <definedName name="zahrnslevy" localSheetId="46">#REF!</definedName>
    <definedName name="zahrnslevy" localSheetId="47">#REF!</definedName>
    <definedName name="zahrnslevy" localSheetId="18">#REF!</definedName>
    <definedName name="zahrnslevy" localSheetId="33">#REF!</definedName>
    <definedName name="zahrnslevy" localSheetId="43">#REF!</definedName>
    <definedName name="zahrnslevy" localSheetId="26">#REF!</definedName>
    <definedName name="zahrnslevy" localSheetId="21">#REF!</definedName>
    <definedName name="zahrnslevy" localSheetId="1">#REF!</definedName>
    <definedName name="zahrnslevy">#REF!</definedName>
    <definedName name="Zakazka" localSheetId="10">#REF!</definedName>
    <definedName name="Zakazka" localSheetId="11">#REF!</definedName>
    <definedName name="Zakazka" localSheetId="23">#REF!</definedName>
    <definedName name="Zakazka" localSheetId="24">#REF!</definedName>
    <definedName name="Zakazka" localSheetId="22">#REF!</definedName>
    <definedName name="Zakazka" localSheetId="25">#REF!</definedName>
    <definedName name="Zakazka" localSheetId="29">#REF!</definedName>
    <definedName name="Zakazka" localSheetId="27">#REF!</definedName>
    <definedName name="Zakazka" localSheetId="28">#REF!</definedName>
    <definedName name="Zakazka" localSheetId="12">#REF!</definedName>
    <definedName name="Zakazka" localSheetId="14">#REF!</definedName>
    <definedName name="Zakazka" localSheetId="19">#REF!</definedName>
    <definedName name="Zakazka" localSheetId="30">#REF!</definedName>
    <definedName name="Zakazka" localSheetId="31">#REF!</definedName>
    <definedName name="Zakazka" localSheetId="32">#REF!</definedName>
    <definedName name="Zakazka" localSheetId="36">#REF!</definedName>
    <definedName name="Zakazka" localSheetId="35">#REF!</definedName>
    <definedName name="Zakazka" localSheetId="34">#REF!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2">#REF!</definedName>
    <definedName name="Zakazka" localSheetId="48">#REF!</definedName>
    <definedName name="Zakazka" localSheetId="49">#REF!</definedName>
    <definedName name="Zakazka" localSheetId="44">#REF!</definedName>
    <definedName name="Zakazka" localSheetId="45">#REF!</definedName>
    <definedName name="Zakazka" localSheetId="46">#REF!</definedName>
    <definedName name="Zakazka" localSheetId="47">#REF!</definedName>
    <definedName name="Zakazka" localSheetId="0">#REF!</definedName>
    <definedName name="Zakazka" localSheetId="18">#REF!</definedName>
    <definedName name="Zakazka" localSheetId="33">#REF!</definedName>
    <definedName name="Zakazka" localSheetId="43">#REF!</definedName>
    <definedName name="Zakazka" localSheetId="26">#REF!</definedName>
    <definedName name="Zakazka" localSheetId="21">#REF!</definedName>
    <definedName name="Zakazka" localSheetId="1">#REF!</definedName>
    <definedName name="Zakazka">#REF!</definedName>
    <definedName name="Zaklad22" localSheetId="10">#REF!</definedName>
    <definedName name="Zaklad22" localSheetId="11">#REF!</definedName>
    <definedName name="Zaklad22" localSheetId="23">#REF!</definedName>
    <definedName name="Zaklad22" localSheetId="24">#REF!</definedName>
    <definedName name="Zaklad22" localSheetId="22">#REF!</definedName>
    <definedName name="Zaklad22" localSheetId="25">#REF!</definedName>
    <definedName name="Zaklad22" localSheetId="29">#REF!</definedName>
    <definedName name="Zaklad22" localSheetId="27">#REF!</definedName>
    <definedName name="Zaklad22" localSheetId="28">#REF!</definedName>
    <definedName name="Zaklad22" localSheetId="12">#REF!</definedName>
    <definedName name="Zaklad22" localSheetId="14">#REF!</definedName>
    <definedName name="Zaklad22" localSheetId="19">#REF!</definedName>
    <definedName name="Zaklad22" localSheetId="30">#REF!</definedName>
    <definedName name="Zaklad22" localSheetId="31">#REF!</definedName>
    <definedName name="Zaklad22" localSheetId="32">#REF!</definedName>
    <definedName name="Zaklad22" localSheetId="36">#REF!</definedName>
    <definedName name="Zaklad22" localSheetId="35">#REF!</definedName>
    <definedName name="Zaklad22" localSheetId="34">#REF!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2">#REF!</definedName>
    <definedName name="Zaklad22" localSheetId="48">#REF!</definedName>
    <definedName name="Zaklad22" localSheetId="49">#REF!</definedName>
    <definedName name="Zaklad22" localSheetId="44">#REF!</definedName>
    <definedName name="Zaklad22" localSheetId="45">#REF!</definedName>
    <definedName name="Zaklad22" localSheetId="46">#REF!</definedName>
    <definedName name="Zaklad22" localSheetId="47">#REF!</definedName>
    <definedName name="Zaklad22" localSheetId="0">#REF!</definedName>
    <definedName name="Zaklad22" localSheetId="33">#REF!</definedName>
    <definedName name="Zaklad22" localSheetId="43">#REF!</definedName>
    <definedName name="Zaklad22" localSheetId="1">#REF!</definedName>
    <definedName name="Zaklad22">#REF!</definedName>
    <definedName name="Zaklad5" localSheetId="10">#REF!</definedName>
    <definedName name="Zaklad5" localSheetId="11">#REF!</definedName>
    <definedName name="Zaklad5" localSheetId="23">#REF!</definedName>
    <definedName name="Zaklad5" localSheetId="24">#REF!</definedName>
    <definedName name="Zaklad5" localSheetId="22">#REF!</definedName>
    <definedName name="Zaklad5" localSheetId="25">#REF!</definedName>
    <definedName name="Zaklad5" localSheetId="29">#REF!</definedName>
    <definedName name="Zaklad5" localSheetId="27">#REF!</definedName>
    <definedName name="Zaklad5" localSheetId="28">#REF!</definedName>
    <definedName name="Zaklad5" localSheetId="12">#REF!</definedName>
    <definedName name="Zaklad5" localSheetId="14">#REF!</definedName>
    <definedName name="Zaklad5" localSheetId="19">#REF!</definedName>
    <definedName name="Zaklad5" localSheetId="30">#REF!</definedName>
    <definedName name="Zaklad5" localSheetId="31">#REF!</definedName>
    <definedName name="Zaklad5" localSheetId="32">#REF!</definedName>
    <definedName name="Zaklad5" localSheetId="36">#REF!</definedName>
    <definedName name="Zaklad5" localSheetId="35">#REF!</definedName>
    <definedName name="Zaklad5" localSheetId="34">#REF!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2">#REF!</definedName>
    <definedName name="Zaklad5" localSheetId="48">#REF!</definedName>
    <definedName name="Zaklad5" localSheetId="49">#REF!</definedName>
    <definedName name="Zaklad5" localSheetId="44">#REF!</definedName>
    <definedName name="Zaklad5" localSheetId="45">#REF!</definedName>
    <definedName name="Zaklad5" localSheetId="46">#REF!</definedName>
    <definedName name="Zaklad5" localSheetId="47">#REF!</definedName>
    <definedName name="Zaklad5" localSheetId="0">#REF!</definedName>
    <definedName name="Zaklad5" localSheetId="33">#REF!</definedName>
    <definedName name="Zaklad5" localSheetId="43">#REF!</definedName>
    <definedName name="Zaklad5" localSheetId="1">#REF!</definedName>
    <definedName name="Zaklad5">#REF!</definedName>
    <definedName name="Zhotovitel" localSheetId="10">#REF!</definedName>
    <definedName name="Zhotovitel" localSheetId="11">#REF!</definedName>
    <definedName name="Zhotovitel" localSheetId="23">#REF!</definedName>
    <definedName name="Zhotovitel" localSheetId="24">#REF!</definedName>
    <definedName name="Zhotovitel" localSheetId="22">#REF!</definedName>
    <definedName name="Zhotovitel" localSheetId="25">#REF!</definedName>
    <definedName name="Zhotovitel" localSheetId="29">#REF!</definedName>
    <definedName name="Zhotovitel" localSheetId="27">#REF!</definedName>
    <definedName name="Zhotovitel" localSheetId="28">#REF!</definedName>
    <definedName name="Zhotovitel" localSheetId="12">#REF!</definedName>
    <definedName name="Zhotovitel" localSheetId="14">#REF!</definedName>
    <definedName name="Zhotovitel" localSheetId="19">#REF!</definedName>
    <definedName name="Zhotovitel" localSheetId="30">#REF!</definedName>
    <definedName name="Zhotovitel" localSheetId="31">#REF!</definedName>
    <definedName name="Zhotovitel" localSheetId="32">#REF!</definedName>
    <definedName name="Zhotovitel" localSheetId="36">#REF!</definedName>
    <definedName name="Zhotovitel" localSheetId="35">#REF!</definedName>
    <definedName name="Zhotovitel" localSheetId="34">#REF!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2">#REF!</definedName>
    <definedName name="Zhotovitel" localSheetId="48">#REF!</definedName>
    <definedName name="Zhotovitel" localSheetId="49">#REF!</definedName>
    <definedName name="Zhotovitel" localSheetId="44">#REF!</definedName>
    <definedName name="Zhotovitel" localSheetId="45">#REF!</definedName>
    <definedName name="Zhotovitel" localSheetId="46">#REF!</definedName>
    <definedName name="Zhotovitel" localSheetId="47">#REF!</definedName>
    <definedName name="Zhotovitel" localSheetId="0">KL!$D$7</definedName>
    <definedName name="Zhotovitel" localSheetId="33">#REF!</definedName>
    <definedName name="Zhotovitel" localSheetId="43">#REF!</definedName>
    <definedName name="Zhotovitel" localSheetId="1">#REF!</definedName>
    <definedName name="Zhotovitel">#REF!</definedName>
  </definedNames>
  <calcPr calcId="181029"/>
</workbook>
</file>

<file path=xl/calcChain.xml><?xml version="1.0" encoding="utf-8"?>
<calcChain xmlns="http://schemas.openxmlformats.org/spreadsheetml/2006/main">
  <c r="I37" i="4" l="1"/>
  <c r="G37" i="4"/>
  <c r="G69" i="4"/>
  <c r="F777" i="83"/>
  <c r="H777" i="83" s="1"/>
  <c r="H776" i="83"/>
  <c r="F774" i="83"/>
  <c r="H774" i="83" s="1"/>
  <c r="F769" i="83"/>
  <c r="H769" i="83" s="1"/>
  <c r="F765" i="83"/>
  <c r="H765" i="83" s="1"/>
  <c r="H761" i="83"/>
  <c r="F761" i="83"/>
  <c r="F757" i="83"/>
  <c r="H757" i="83" s="1"/>
  <c r="F753" i="83"/>
  <c r="H753" i="83" s="1"/>
  <c r="F749" i="83"/>
  <c r="H749" i="83" s="1"/>
  <c r="F745" i="83"/>
  <c r="H745" i="83" s="1"/>
  <c r="F741" i="83"/>
  <c r="H741" i="83" s="1"/>
  <c r="H737" i="83"/>
  <c r="F737" i="83"/>
  <c r="F733" i="83"/>
  <c r="H733" i="83" s="1"/>
  <c r="F729" i="83"/>
  <c r="H729" i="83" s="1"/>
  <c r="F725" i="83"/>
  <c r="H725" i="83" s="1"/>
  <c r="F721" i="83"/>
  <c r="H721" i="83" s="1"/>
  <c r="F717" i="83"/>
  <c r="H717" i="83" s="1"/>
  <c r="H713" i="83"/>
  <c r="F713" i="83"/>
  <c r="F709" i="83"/>
  <c r="H709" i="83" s="1"/>
  <c r="F705" i="83"/>
  <c r="H705" i="83" s="1"/>
  <c r="F701" i="83"/>
  <c r="H701" i="83" s="1"/>
  <c r="F697" i="83"/>
  <c r="H697" i="83" s="1"/>
  <c r="F693" i="83"/>
  <c r="H693" i="83" s="1"/>
  <c r="H689" i="83"/>
  <c r="F689" i="83"/>
  <c r="F685" i="83"/>
  <c r="H685" i="83" s="1"/>
  <c r="F681" i="83"/>
  <c r="H681" i="83" s="1"/>
  <c r="F677" i="83"/>
  <c r="H677" i="83" s="1"/>
  <c r="F673" i="83"/>
  <c r="H673" i="83" s="1"/>
  <c r="F669" i="83"/>
  <c r="H669" i="83" s="1"/>
  <c r="H665" i="83"/>
  <c r="F665" i="83"/>
  <c r="F661" i="83"/>
  <c r="H661" i="83" s="1"/>
  <c r="F657" i="83"/>
  <c r="H657" i="83" s="1"/>
  <c r="F653" i="83"/>
  <c r="H653" i="83" s="1"/>
  <c r="F649" i="83"/>
  <c r="H649" i="83" s="1"/>
  <c r="F645" i="83"/>
  <c r="H645" i="83" s="1"/>
  <c r="H641" i="83"/>
  <c r="F641" i="83"/>
  <c r="F637" i="83"/>
  <c r="H637" i="83" s="1"/>
  <c r="F633" i="83"/>
  <c r="H633" i="83" s="1"/>
  <c r="F629" i="83"/>
  <c r="H629" i="83" s="1"/>
  <c r="F625" i="83"/>
  <c r="H625" i="83" s="1"/>
  <c r="F621" i="83"/>
  <c r="H621" i="83" s="1"/>
  <c r="H617" i="83"/>
  <c r="F617" i="83"/>
  <c r="F613" i="83"/>
  <c r="H613" i="83" s="1"/>
  <c r="F609" i="83"/>
  <c r="H609" i="83" s="1"/>
  <c r="F605" i="83"/>
  <c r="H605" i="83" s="1"/>
  <c r="F601" i="83"/>
  <c r="H601" i="83" s="1"/>
  <c r="F597" i="83"/>
  <c r="H597" i="83" s="1"/>
  <c r="F593" i="83"/>
  <c r="H593" i="83" s="1"/>
  <c r="F589" i="83"/>
  <c r="H589" i="83" s="1"/>
  <c r="F585" i="83"/>
  <c r="H585" i="83" s="1"/>
  <c r="F581" i="83"/>
  <c r="H581" i="83" s="1"/>
  <c r="F577" i="83"/>
  <c r="H577" i="83" s="1"/>
  <c r="F573" i="83"/>
  <c r="H573" i="83" s="1"/>
  <c r="F569" i="83"/>
  <c r="H569" i="83" s="1"/>
  <c r="F565" i="83"/>
  <c r="H565" i="83" s="1"/>
  <c r="F561" i="83"/>
  <c r="H561" i="83" s="1"/>
  <c r="F557" i="83"/>
  <c r="H557" i="83" s="1"/>
  <c r="F553" i="83"/>
  <c r="H553" i="83" s="1"/>
  <c r="F549" i="83"/>
  <c r="H549" i="83" s="1"/>
  <c r="F545" i="83"/>
  <c r="H545" i="83" s="1"/>
  <c r="F541" i="83"/>
  <c r="H541" i="83" s="1"/>
  <c r="F537" i="83"/>
  <c r="H537" i="83" s="1"/>
  <c r="F533" i="83"/>
  <c r="H533" i="83" s="1"/>
  <c r="F529" i="83"/>
  <c r="H529" i="83" s="1"/>
  <c r="F525" i="83"/>
  <c r="H525" i="83" s="1"/>
  <c r="F521" i="83"/>
  <c r="H521" i="83" s="1"/>
  <c r="F517" i="83"/>
  <c r="H517" i="83" s="1"/>
  <c r="F513" i="83"/>
  <c r="H513" i="83" s="1"/>
  <c r="F509" i="83"/>
  <c r="H509" i="83" s="1"/>
  <c r="F505" i="83"/>
  <c r="H505" i="83" s="1"/>
  <c r="F501" i="83"/>
  <c r="H501" i="83" s="1"/>
  <c r="F497" i="83"/>
  <c r="H497" i="83" s="1"/>
  <c r="F493" i="83"/>
  <c r="H493" i="83" s="1"/>
  <c r="F489" i="83"/>
  <c r="H489" i="83" s="1"/>
  <c r="F485" i="83"/>
  <c r="H485" i="83" s="1"/>
  <c r="F481" i="83"/>
  <c r="H481" i="83" s="1"/>
  <c r="F477" i="83"/>
  <c r="H477" i="83" s="1"/>
  <c r="F473" i="83"/>
  <c r="H473" i="83" s="1"/>
  <c r="F469" i="83"/>
  <c r="H469" i="83" s="1"/>
  <c r="F465" i="83"/>
  <c r="H465" i="83" s="1"/>
  <c r="F461" i="83"/>
  <c r="H461" i="83" s="1"/>
  <c r="F457" i="83"/>
  <c r="H457" i="83" s="1"/>
  <c r="F453" i="83"/>
  <c r="H453" i="83" s="1"/>
  <c r="F449" i="83"/>
  <c r="H449" i="83" s="1"/>
  <c r="F445" i="83"/>
  <c r="H445" i="83" s="1"/>
  <c r="F441" i="83"/>
  <c r="H441" i="83" s="1"/>
  <c r="F437" i="83"/>
  <c r="H437" i="83" s="1"/>
  <c r="F433" i="83"/>
  <c r="H433" i="83" s="1"/>
  <c r="F429" i="83"/>
  <c r="H429" i="83" s="1"/>
  <c r="F425" i="83"/>
  <c r="H425" i="83" s="1"/>
  <c r="F421" i="83"/>
  <c r="H421" i="83" s="1"/>
  <c r="F417" i="83"/>
  <c r="H417" i="83" s="1"/>
  <c r="F413" i="83"/>
  <c r="H413" i="83" s="1"/>
  <c r="F409" i="83"/>
  <c r="H409" i="83" s="1"/>
  <c r="F405" i="83"/>
  <c r="H405" i="83" s="1"/>
  <c r="F401" i="83"/>
  <c r="H401" i="83" s="1"/>
  <c r="F397" i="83"/>
  <c r="H397" i="83" s="1"/>
  <c r="F393" i="83"/>
  <c r="H393" i="83" s="1"/>
  <c r="F389" i="83"/>
  <c r="H389" i="83" s="1"/>
  <c r="F385" i="83"/>
  <c r="H385" i="83" s="1"/>
  <c r="F381" i="83"/>
  <c r="H381" i="83" s="1"/>
  <c r="F377" i="83"/>
  <c r="H377" i="83" s="1"/>
  <c r="F373" i="83"/>
  <c r="H373" i="83" s="1"/>
  <c r="F369" i="83"/>
  <c r="H369" i="83" s="1"/>
  <c r="F365" i="83"/>
  <c r="H365" i="83" s="1"/>
  <c r="F361" i="83"/>
  <c r="H361" i="83" s="1"/>
  <c r="F357" i="83"/>
  <c r="H357" i="83" s="1"/>
  <c r="F353" i="83"/>
  <c r="H353" i="83" s="1"/>
  <c r="F349" i="83"/>
  <c r="H349" i="83" s="1"/>
  <c r="F345" i="83"/>
  <c r="H345" i="83" s="1"/>
  <c r="H341" i="83"/>
  <c r="F341" i="83"/>
  <c r="F337" i="83"/>
  <c r="H337" i="83" s="1"/>
  <c r="F333" i="83"/>
  <c r="H333" i="83" s="1"/>
  <c r="F329" i="83"/>
  <c r="H329" i="83" s="1"/>
  <c r="F325" i="83"/>
  <c r="H325" i="83" s="1"/>
  <c r="F321" i="83"/>
  <c r="H321" i="83" s="1"/>
  <c r="H317" i="83"/>
  <c r="F317" i="83"/>
  <c r="F313" i="83"/>
  <c r="H313" i="83" s="1"/>
  <c r="F309" i="83"/>
  <c r="H309" i="83" s="1"/>
  <c r="F305" i="83"/>
  <c r="H305" i="83" s="1"/>
  <c r="F301" i="83"/>
  <c r="H301" i="83" s="1"/>
  <c r="F297" i="83"/>
  <c r="H297" i="83" s="1"/>
  <c r="H293" i="83"/>
  <c r="F293" i="83"/>
  <c r="F289" i="83"/>
  <c r="H289" i="83" s="1"/>
  <c r="F285" i="83"/>
  <c r="H285" i="83" s="1"/>
  <c r="F281" i="83"/>
  <c r="H281" i="83" s="1"/>
  <c r="F277" i="83"/>
  <c r="H277" i="83" s="1"/>
  <c r="F273" i="83"/>
  <c r="H273" i="83" s="1"/>
  <c r="H269" i="83"/>
  <c r="F269" i="83"/>
  <c r="F265" i="83"/>
  <c r="H265" i="83" s="1"/>
  <c r="F261" i="83"/>
  <c r="H261" i="83" s="1"/>
  <c r="F257" i="83"/>
  <c r="H257" i="83" s="1"/>
  <c r="F253" i="83"/>
  <c r="H253" i="83" s="1"/>
  <c r="F249" i="83"/>
  <c r="H249" i="83" s="1"/>
  <c r="H245" i="83"/>
  <c r="F245" i="83"/>
  <c r="F241" i="83"/>
  <c r="H241" i="83" s="1"/>
  <c r="F237" i="83"/>
  <c r="H237" i="83" s="1"/>
  <c r="F233" i="83"/>
  <c r="H233" i="83" s="1"/>
  <c r="F229" i="83"/>
  <c r="H229" i="83" s="1"/>
  <c r="F225" i="83"/>
  <c r="H225" i="83" s="1"/>
  <c r="H221" i="83"/>
  <c r="F221" i="83"/>
  <c r="F217" i="83"/>
  <c r="H217" i="83" s="1"/>
  <c r="F213" i="83"/>
  <c r="H213" i="83" s="1"/>
  <c r="F209" i="83"/>
  <c r="H209" i="83" s="1"/>
  <c r="F205" i="83"/>
  <c r="H205" i="83" s="1"/>
  <c r="F201" i="83"/>
  <c r="H201" i="83" s="1"/>
  <c r="H193" i="83"/>
  <c r="F193" i="83"/>
  <c r="F185" i="83"/>
  <c r="H185" i="83" s="1"/>
  <c r="F181" i="83"/>
  <c r="H181" i="83" s="1"/>
  <c r="F176" i="83"/>
  <c r="H176" i="83" s="1"/>
  <c r="F171" i="83"/>
  <c r="H171" i="83" s="1"/>
  <c r="F167" i="83"/>
  <c r="H167" i="83" s="1"/>
  <c r="H162" i="83"/>
  <c r="F162" i="83"/>
  <c r="F157" i="83"/>
  <c r="H157" i="83" s="1"/>
  <c r="F152" i="83"/>
  <c r="H152" i="83" s="1"/>
  <c r="F147" i="83"/>
  <c r="H147" i="83" s="1"/>
  <c r="F142" i="83"/>
  <c r="H142" i="83" s="1"/>
  <c r="F137" i="83"/>
  <c r="H137" i="83" s="1"/>
  <c r="H132" i="83"/>
  <c r="F132" i="83"/>
  <c r="F127" i="83"/>
  <c r="H127" i="83" s="1"/>
  <c r="F122" i="83"/>
  <c r="H122" i="83" s="1"/>
  <c r="F117" i="83"/>
  <c r="H117" i="83" s="1"/>
  <c r="F112" i="83"/>
  <c r="H112" i="83" s="1"/>
  <c r="F107" i="83"/>
  <c r="H107" i="83" s="1"/>
  <c r="H102" i="83"/>
  <c r="F102" i="83"/>
  <c r="F97" i="83"/>
  <c r="H97" i="83" s="1"/>
  <c r="F92" i="83"/>
  <c r="H92" i="83" s="1"/>
  <c r="F87" i="83"/>
  <c r="H87" i="83" s="1"/>
  <c r="F82" i="83"/>
  <c r="H82" i="83" s="1"/>
  <c r="F76" i="83"/>
  <c r="H76" i="83" s="1"/>
  <c r="H70" i="83"/>
  <c r="F70" i="83"/>
  <c r="F65" i="83"/>
  <c r="H65" i="83" s="1"/>
  <c r="F59" i="83"/>
  <c r="H59" i="83" s="1"/>
  <c r="F54" i="83"/>
  <c r="H54" i="83" s="1"/>
  <c r="F49" i="83"/>
  <c r="H49" i="83" s="1"/>
  <c r="F44" i="83"/>
  <c r="H44" i="83" s="1"/>
  <c r="H39" i="83"/>
  <c r="F39" i="83"/>
  <c r="F34" i="83"/>
  <c r="H34" i="83" s="1"/>
  <c r="F29" i="83"/>
  <c r="H29" i="83" s="1"/>
  <c r="F24" i="83"/>
  <c r="H24" i="83" s="1"/>
  <c r="F19" i="83"/>
  <c r="H19" i="83" s="1"/>
  <c r="F14" i="83"/>
  <c r="H14" i="83" s="1"/>
  <c r="H9" i="83"/>
  <c r="F9" i="83"/>
  <c r="H730" i="76"/>
  <c r="H731" i="76"/>
  <c r="H729" i="76"/>
  <c r="H8" i="83" l="1"/>
  <c r="H7" i="83" s="1"/>
  <c r="H780" i="83" s="1"/>
  <c r="H782" i="83" s="1"/>
  <c r="F44" i="4" s="1"/>
  <c r="H742" i="76"/>
  <c r="H740" i="76"/>
  <c r="H276" i="76"/>
  <c r="H275" i="76"/>
  <c r="H271" i="76"/>
  <c r="H266" i="76"/>
  <c r="H263" i="76"/>
  <c r="H258" i="76"/>
  <c r="H248" i="76"/>
  <c r="H247" i="76"/>
  <c r="H242" i="76"/>
  <c r="H241" i="76" s="1"/>
  <c r="H291" i="76"/>
  <c r="H292" i="76"/>
  <c r="H1115" i="76"/>
  <c r="H1113" i="76" s="1"/>
  <c r="H1114" i="76"/>
  <c r="H1112" i="76" s="1"/>
  <c r="H1106" i="76"/>
  <c r="H1097" i="76" s="1"/>
  <c r="H1096" i="76" s="1"/>
  <c r="H1107" i="76" s="1"/>
  <c r="H1111" i="76"/>
  <c r="H1110" i="76"/>
  <c r="H737" i="76"/>
  <c r="H1017" i="76"/>
  <c r="H1015" i="76" s="1"/>
  <c r="H1005" i="76"/>
  <c r="H997" i="76" s="1"/>
  <c r="T997" i="76" s="1"/>
  <c r="BI997" i="76"/>
  <c r="BH997" i="76"/>
  <c r="BG997" i="76"/>
  <c r="BE997" i="76"/>
  <c r="H1014" i="76"/>
  <c r="H1006" i="76" s="1"/>
  <c r="H1029" i="76"/>
  <c r="H1027" i="76" s="1"/>
  <c r="H44" i="4" l="1"/>
  <c r="H37" i="4" s="1"/>
  <c r="H69" i="4" s="1"/>
  <c r="F37" i="4"/>
  <c r="F69" i="4" s="1"/>
  <c r="H264" i="76"/>
  <c r="H257" i="76" s="1"/>
  <c r="H1121" i="76"/>
  <c r="H1120" i="76"/>
  <c r="J997" i="76"/>
  <c r="BF997" i="76" s="1"/>
  <c r="P997" i="76"/>
  <c r="R997" i="76"/>
  <c r="H1044" i="76"/>
  <c r="H1042" i="76" s="1"/>
  <c r="R1042" i="76" s="1"/>
  <c r="BI1042" i="76"/>
  <c r="BH1042" i="76"/>
  <c r="BG1042" i="76"/>
  <c r="BE1042" i="76"/>
  <c r="T1042" i="76" l="1"/>
  <c r="P1042" i="76"/>
  <c r="BK1042" i="76"/>
  <c r="J1042" i="76"/>
  <c r="BF1042" i="76" s="1"/>
  <c r="H1047" i="76" l="1"/>
  <c r="H1045" i="76" s="1"/>
  <c r="R1045" i="76" s="1"/>
  <c r="BI1045" i="76"/>
  <c r="BH1045" i="76"/>
  <c r="BG1045" i="76"/>
  <c r="BE1045" i="76"/>
  <c r="T1045" i="76" l="1"/>
  <c r="J1045" i="76"/>
  <c r="BF1045" i="76" s="1"/>
  <c r="P1045" i="76"/>
  <c r="BK1045" i="76"/>
  <c r="H1038" i="76" l="1"/>
  <c r="H1035" i="76"/>
  <c r="H1036" i="76"/>
  <c r="H1037" i="76"/>
  <c r="H1039" i="76" l="1"/>
  <c r="H1030" i="76" s="1"/>
  <c r="BK629" i="76" l="1"/>
  <c r="BI629" i="76"/>
  <c r="BH629" i="76"/>
  <c r="BG629" i="76"/>
  <c r="BE629" i="76"/>
  <c r="T629" i="76"/>
  <c r="R629" i="76"/>
  <c r="P629" i="76"/>
  <c r="J629" i="76"/>
  <c r="BF629" i="76" s="1"/>
  <c r="BK623" i="76"/>
  <c r="BI623" i="76"/>
  <c r="BH623" i="76"/>
  <c r="BG623" i="76"/>
  <c r="BE623" i="76"/>
  <c r="T623" i="76"/>
  <c r="R623" i="76"/>
  <c r="P623" i="76"/>
  <c r="J623" i="76"/>
  <c r="BF623" i="76" s="1"/>
  <c r="H1295" i="78" l="1"/>
  <c r="H1266" i="78" s="1"/>
  <c r="H1172" i="78"/>
  <c r="H1173" i="78" s="1"/>
  <c r="H1168" i="78" s="1"/>
  <c r="H1170" i="78"/>
  <c r="H1165" i="78"/>
  <c r="H1163" i="78"/>
  <c r="H1589" i="78"/>
  <c r="J484" i="78"/>
  <c r="H1297" i="78" l="1"/>
  <c r="H1296" i="78"/>
  <c r="H1166" i="78"/>
  <c r="H1161" i="78" s="1"/>
  <c r="BK1589" i="78"/>
  <c r="BI1589" i="78"/>
  <c r="BH1589" i="78"/>
  <c r="BG1589" i="78"/>
  <c r="BE1589" i="78"/>
  <c r="T1589" i="78"/>
  <c r="R1589" i="78"/>
  <c r="P1589" i="78"/>
  <c r="J1589" i="78"/>
  <c r="BF1589" i="78" s="1"/>
  <c r="J186" i="77" l="1"/>
  <c r="BK186" i="77"/>
  <c r="BI186" i="77"/>
  <c r="BH186" i="77"/>
  <c r="BG186" i="77"/>
  <c r="BF186" i="77"/>
  <c r="BE186" i="77"/>
  <c r="T186" i="77"/>
  <c r="R186" i="77"/>
  <c r="P186" i="77"/>
  <c r="H516" i="76"/>
  <c r="H505" i="76" s="1"/>
  <c r="H517" i="76" s="1"/>
  <c r="H504" i="76"/>
  <c r="H503" i="76" s="1"/>
  <c r="H502" i="76"/>
  <c r="H496" i="76" s="1"/>
  <c r="J356" i="78"/>
  <c r="H1186" i="76"/>
  <c r="H1083" i="76" l="1"/>
  <c r="H1079" i="76" s="1"/>
  <c r="BI1079" i="76"/>
  <c r="BH1079" i="76"/>
  <c r="BG1079" i="76"/>
  <c r="BE1079" i="76"/>
  <c r="H1109" i="76"/>
  <c r="T1109" i="76" s="1"/>
  <c r="H1108" i="76"/>
  <c r="BI1113" i="76"/>
  <c r="BH1113" i="76"/>
  <c r="BG1113" i="76"/>
  <c r="BE1113" i="76"/>
  <c r="BI1109" i="76"/>
  <c r="BH1109" i="76"/>
  <c r="BG1109" i="76"/>
  <c r="BE1109" i="76"/>
  <c r="BI1112" i="76"/>
  <c r="BH1112" i="76"/>
  <c r="BG1112" i="76"/>
  <c r="BE1112" i="76"/>
  <c r="BI1108" i="76"/>
  <c r="BH1108" i="76"/>
  <c r="BG1108" i="76"/>
  <c r="BE1108" i="76"/>
  <c r="H1019" i="76"/>
  <c r="H1020" i="76" s="1"/>
  <c r="H1018" i="76" s="1"/>
  <c r="T1018" i="76" s="1"/>
  <c r="BI1018" i="76"/>
  <c r="BH1018" i="76"/>
  <c r="BG1018" i="76"/>
  <c r="BE1018" i="76"/>
  <c r="H886" i="76"/>
  <c r="H885" i="76" s="1"/>
  <c r="H884" i="76"/>
  <c r="H883" i="76" s="1"/>
  <c r="H844" i="76"/>
  <c r="H832" i="76" s="1"/>
  <c r="H843" i="76"/>
  <c r="BI832" i="76"/>
  <c r="BH832" i="76"/>
  <c r="BG832" i="76"/>
  <c r="BE832" i="76"/>
  <c r="H831" i="76"/>
  <c r="H820" i="76" s="1"/>
  <c r="T1079" i="76" l="1"/>
  <c r="T1078" i="76" s="1"/>
  <c r="BK1079" i="76"/>
  <c r="BK1078" i="76" s="1"/>
  <c r="J1078" i="76" s="1"/>
  <c r="J1079" i="76"/>
  <c r="BF1079" i="76" s="1"/>
  <c r="P1079" i="76"/>
  <c r="P1078" i="76" s="1"/>
  <c r="R1079" i="76"/>
  <c r="R1078" i="76" s="1"/>
  <c r="BK1113" i="76"/>
  <c r="T1113" i="76"/>
  <c r="R1113" i="76"/>
  <c r="P1113" i="76"/>
  <c r="J1113" i="76"/>
  <c r="BF1113" i="76" s="1"/>
  <c r="T1108" i="76"/>
  <c r="BK1108" i="76"/>
  <c r="BK1112" i="76"/>
  <c r="P1112" i="76"/>
  <c r="J1112" i="76"/>
  <c r="BF1112" i="76" s="1"/>
  <c r="R1112" i="76"/>
  <c r="T1112" i="76"/>
  <c r="P1108" i="76"/>
  <c r="J1108" i="76"/>
  <c r="BF1108" i="76" s="1"/>
  <c r="R1108" i="76"/>
  <c r="J1109" i="76"/>
  <c r="BF1109" i="76" s="1"/>
  <c r="P1109" i="76"/>
  <c r="BK1109" i="76"/>
  <c r="R1109" i="76"/>
  <c r="P1018" i="76"/>
  <c r="R1018" i="76"/>
  <c r="BK1018" i="76"/>
  <c r="J1018" i="76"/>
  <c r="BF1018" i="76" s="1"/>
  <c r="T832" i="76"/>
  <c r="BK832" i="76"/>
  <c r="J832" i="76"/>
  <c r="BF832" i="76" s="1"/>
  <c r="P832" i="76"/>
  <c r="R832" i="76"/>
  <c r="BK820" i="76"/>
  <c r="BI820" i="76"/>
  <c r="BH820" i="76"/>
  <c r="BG820" i="76"/>
  <c r="BE820" i="76"/>
  <c r="T820" i="76"/>
  <c r="R820" i="76"/>
  <c r="P820" i="76"/>
  <c r="J820" i="76"/>
  <c r="BF820" i="76" s="1"/>
  <c r="F454" i="57" l="1"/>
  <c r="F451" i="57"/>
  <c r="F448" i="57" l="1"/>
  <c r="F453" i="57"/>
  <c r="H453" i="57" s="1"/>
  <c r="F450" i="57"/>
  <c r="H450" i="57" s="1"/>
  <c r="H741" i="76"/>
  <c r="H739" i="76"/>
  <c r="H355" i="76"/>
  <c r="H354" i="76" s="1"/>
  <c r="BI354" i="76"/>
  <c r="BH354" i="76"/>
  <c r="BG354" i="76"/>
  <c r="BE354" i="76"/>
  <c r="H226" i="80"/>
  <c r="H341" i="76"/>
  <c r="BK135" i="80"/>
  <c r="H353" i="76"/>
  <c r="T353" i="76" s="1"/>
  <c r="BI353" i="76"/>
  <c r="BH353" i="76"/>
  <c r="BG353" i="76"/>
  <c r="BE353" i="76"/>
  <c r="T354" i="76" l="1"/>
  <c r="P354" i="76"/>
  <c r="R354" i="76"/>
  <c r="J354" i="76"/>
  <c r="BF354" i="76" s="1"/>
  <c r="BK354" i="76"/>
  <c r="J353" i="76"/>
  <c r="BF353" i="76" s="1"/>
  <c r="BK353" i="76"/>
  <c r="P353" i="76"/>
  <c r="R353" i="76"/>
  <c r="H299" i="76" l="1"/>
  <c r="H294"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69" i="76" l="1"/>
  <c r="H1067" i="76" s="1"/>
  <c r="R1067" i="76" s="1"/>
  <c r="BI1067" i="76"/>
  <c r="BH1067" i="76"/>
  <c r="BG1067" i="76"/>
  <c r="BE1067" i="76"/>
  <c r="BI1065" i="76"/>
  <c r="BH1065" i="76"/>
  <c r="BG1065" i="76"/>
  <c r="BE1065" i="76"/>
  <c r="T1065" i="76"/>
  <c r="R1065" i="76"/>
  <c r="P1065" i="76"/>
  <c r="T1067" i="76" l="1"/>
  <c r="J1067" i="76"/>
  <c r="P1067" i="76"/>
  <c r="BK1067" i="76"/>
  <c r="H235" i="80" l="1"/>
  <c r="H236" i="80" s="1"/>
  <c r="H234" i="80" s="1"/>
  <c r="BI234" i="80"/>
  <c r="BH234" i="80"/>
  <c r="BG234" i="80"/>
  <c r="BE234" i="80"/>
  <c r="H227" i="80"/>
  <c r="H225" i="80" s="1"/>
  <c r="T225" i="80" s="1"/>
  <c r="BI225" i="80"/>
  <c r="BH225" i="80"/>
  <c r="BG225" i="80"/>
  <c r="BE225" i="80"/>
  <c r="H1064" i="76"/>
  <c r="H1063" i="76" s="1"/>
  <c r="H1062" i="76"/>
  <c r="H1060" i="76" s="1"/>
  <c r="H1071" i="76"/>
  <c r="H1070" i="76" s="1"/>
  <c r="T234" i="80" l="1"/>
  <c r="J234" i="80"/>
  <c r="BF234" i="80" s="1"/>
  <c r="R234" i="80"/>
  <c r="P234" i="80"/>
  <c r="BK234" i="80"/>
  <c r="R225" i="80"/>
  <c r="BK225" i="80"/>
  <c r="BK169" i="80" s="1"/>
  <c r="J225" i="80"/>
  <c r="BF225" i="80" s="1"/>
  <c r="P225" i="80"/>
  <c r="F33" i="19"/>
  <c r="F31" i="19" s="1"/>
  <c r="H31" i="19" s="1"/>
  <c r="F34" i="19"/>
  <c r="H344" i="76"/>
  <c r="H345" i="76"/>
  <c r="H342" i="76" l="1"/>
  <c r="BK342" i="76" s="1"/>
  <c r="BI342" i="76"/>
  <c r="BH342" i="76"/>
  <c r="BG342" i="76"/>
  <c r="BE342" i="76"/>
  <c r="H733" i="76"/>
  <c r="H732" i="76" s="1"/>
  <c r="H172" i="76"/>
  <c r="H169" i="76" s="1"/>
  <c r="H159" i="76"/>
  <c r="H195" i="76"/>
  <c r="H194" i="76" s="1"/>
  <c r="H196" i="76"/>
  <c r="H187" i="76"/>
  <c r="H188" i="76"/>
  <c r="H190" i="76" s="1"/>
  <c r="H293" i="76"/>
  <c r="H290" i="76"/>
  <c r="H286" i="76"/>
  <c r="H287" i="76" s="1"/>
  <c r="H283" i="76"/>
  <c r="H284" i="76" s="1"/>
  <c r="H280" i="76"/>
  <c r="H279" i="76"/>
  <c r="H270" i="76"/>
  <c r="H269" i="76"/>
  <c r="H268" i="76"/>
  <c r="H267" i="76"/>
  <c r="H272" i="76" s="1"/>
  <c r="H265" i="76" s="1"/>
  <c r="H255" i="76"/>
  <c r="H254" i="76"/>
  <c r="H239" i="76"/>
  <c r="J342" i="76" l="1"/>
  <c r="BF342" i="76" s="1"/>
  <c r="P342" i="76"/>
  <c r="R342" i="76"/>
  <c r="T342" i="76"/>
  <c r="H191" i="76"/>
  <c r="H185" i="76" s="1"/>
  <c r="H281" i="76"/>
  <c r="H277" i="76"/>
  <c r="H288" i="76" l="1"/>
  <c r="H273" i="76" s="1"/>
  <c r="H256" i="76" l="1"/>
  <c r="H253" i="76" s="1"/>
  <c r="H240" i="76"/>
  <c r="H237" i="76" s="1"/>
  <c r="H340" i="76"/>
  <c r="BK340" i="76" l="1"/>
  <c r="BI340" i="76"/>
  <c r="BH340" i="76"/>
  <c r="BG340" i="76"/>
  <c r="BE340" i="76"/>
  <c r="T340" i="76"/>
  <c r="R340" i="76"/>
  <c r="P340" i="76"/>
  <c r="J340" i="76"/>
  <c r="BF340"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9" i="76"/>
  <c r="BI291" i="76"/>
  <c r="BH291" i="76"/>
  <c r="BG291" i="76"/>
  <c r="BE291" i="76"/>
  <c r="R291" i="76" l="1"/>
  <c r="T291" i="76"/>
  <c r="BK291" i="76"/>
  <c r="P291" i="76"/>
  <c r="J291" i="76"/>
  <c r="BF291"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8"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901" i="78"/>
  <c r="BI1901" i="78"/>
  <c r="BH1901" i="78"/>
  <c r="BG1901" i="78"/>
  <c r="BE1901" i="78"/>
  <c r="T1901" i="78"/>
  <c r="R1901" i="78"/>
  <c r="P1901" i="78"/>
  <c r="J1901" i="78"/>
  <c r="BF1901" i="78" s="1"/>
  <c r="BI1892" i="78"/>
  <c r="BH1892" i="78"/>
  <c r="BG1892" i="78"/>
  <c r="BE1892" i="78"/>
  <c r="T1892" i="78"/>
  <c r="R1892" i="78"/>
  <c r="P1892" i="78"/>
  <c r="BF1892" i="78"/>
  <c r="BK1891" i="78"/>
  <c r="BI1891" i="78"/>
  <c r="BH1891" i="78"/>
  <c r="BG1891" i="78"/>
  <c r="BE1891" i="78"/>
  <c r="T1891" i="78"/>
  <c r="R1891" i="78"/>
  <c r="P1891" i="78"/>
  <c r="J1891" i="78"/>
  <c r="BF1891" i="78" s="1"/>
  <c r="BK1871" i="78"/>
  <c r="BI1871" i="78"/>
  <c r="BH1871" i="78"/>
  <c r="BG1871" i="78"/>
  <c r="BE1871" i="78"/>
  <c r="T1871" i="78"/>
  <c r="R1871" i="78"/>
  <c r="P1871" i="78"/>
  <c r="J1871" i="78"/>
  <c r="BF1871" i="78" s="1"/>
  <c r="BK1869" i="78"/>
  <c r="BI1869" i="78"/>
  <c r="BH1869" i="78"/>
  <c r="BG1869" i="78"/>
  <c r="BE1869" i="78"/>
  <c r="T1869" i="78"/>
  <c r="R1869" i="78"/>
  <c r="P1869" i="78"/>
  <c r="J1869" i="78"/>
  <c r="BF1869" i="78" s="1"/>
  <c r="BK1868" i="78"/>
  <c r="BI1868" i="78"/>
  <c r="BH1868" i="78"/>
  <c r="BG1868" i="78"/>
  <c r="BE1868" i="78"/>
  <c r="T1868" i="78"/>
  <c r="R1868" i="78"/>
  <c r="P1868" i="78"/>
  <c r="J1868" i="78"/>
  <c r="BF1868" i="78" s="1"/>
  <c r="BK1867" i="78"/>
  <c r="BI1867" i="78"/>
  <c r="BH1867" i="78"/>
  <c r="BG1867" i="78"/>
  <c r="BE1867" i="78"/>
  <c r="T1867" i="78"/>
  <c r="R1867" i="78"/>
  <c r="P1867" i="78"/>
  <c r="J1867" i="78"/>
  <c r="BF1867" i="78" s="1"/>
  <c r="BK1859" i="78"/>
  <c r="BI1859" i="78"/>
  <c r="BH1859" i="78"/>
  <c r="BG1859" i="78"/>
  <c r="BE1859" i="78"/>
  <c r="T1859" i="78"/>
  <c r="R1859" i="78"/>
  <c r="P1859" i="78"/>
  <c r="J1859" i="78"/>
  <c r="BF1859" i="78" s="1"/>
  <c r="BK1858" i="78"/>
  <c r="BI1858" i="78"/>
  <c r="BH1858" i="78"/>
  <c r="BG1858" i="78"/>
  <c r="BE1858" i="78"/>
  <c r="T1858" i="78"/>
  <c r="R1858" i="78"/>
  <c r="P1858" i="78"/>
  <c r="J1858" i="78"/>
  <c r="BF1858" i="78" s="1"/>
  <c r="BK1840" i="78"/>
  <c r="BI1840" i="78"/>
  <c r="BH1840" i="78"/>
  <c r="BG1840" i="78"/>
  <c r="BE1840" i="78"/>
  <c r="T1840" i="78"/>
  <c r="R1840" i="78"/>
  <c r="P1840" i="78"/>
  <c r="J1840" i="78"/>
  <c r="BF1840" i="78" s="1"/>
  <c r="BK1839" i="78"/>
  <c r="BI1839" i="78"/>
  <c r="BH1839" i="78"/>
  <c r="BG1839" i="78"/>
  <c r="BE1839" i="78"/>
  <c r="T1839" i="78"/>
  <c r="R1839" i="78"/>
  <c r="P1839" i="78"/>
  <c r="J1839" i="78"/>
  <c r="BF1839" i="78" s="1"/>
  <c r="BK1817" i="78"/>
  <c r="BI1817" i="78"/>
  <c r="BH1817" i="78"/>
  <c r="BG1817" i="78"/>
  <c r="BE1817" i="78"/>
  <c r="T1817" i="78"/>
  <c r="R1817" i="78"/>
  <c r="P1817" i="78"/>
  <c r="J1817" i="78"/>
  <c r="BF1817" i="78" s="1"/>
  <c r="BK1809" i="78"/>
  <c r="BI1809" i="78"/>
  <c r="BH1809" i="78"/>
  <c r="BG1809" i="78"/>
  <c r="BE1809" i="78"/>
  <c r="T1809" i="78"/>
  <c r="R1809" i="78"/>
  <c r="P1809" i="78"/>
  <c r="J1809" i="78"/>
  <c r="BF1809" i="78" s="1"/>
  <c r="BK1801" i="78"/>
  <c r="BI1801" i="78"/>
  <c r="BH1801" i="78"/>
  <c r="BG1801" i="78"/>
  <c r="BE1801" i="78"/>
  <c r="T1801" i="78"/>
  <c r="R1801" i="78"/>
  <c r="P1801" i="78"/>
  <c r="J1801" i="78"/>
  <c r="BF1801" i="78" s="1"/>
  <c r="BK1783" i="78"/>
  <c r="BI1783" i="78"/>
  <c r="BH1783" i="78"/>
  <c r="BG1783" i="78"/>
  <c r="BE1783" i="78"/>
  <c r="T1783" i="78"/>
  <c r="R1783" i="78"/>
  <c r="P1783" i="78"/>
  <c r="J1783" i="78"/>
  <c r="BF1783" i="78" s="1"/>
  <c r="BK1765" i="78"/>
  <c r="BI1765" i="78"/>
  <c r="BH1765" i="78"/>
  <c r="BG1765" i="78"/>
  <c r="BE1765" i="78"/>
  <c r="T1765" i="78"/>
  <c r="R1765" i="78"/>
  <c r="P1765" i="78"/>
  <c r="J1765" i="78"/>
  <c r="BF1765" i="78" s="1"/>
  <c r="BK1753" i="78"/>
  <c r="BI1753" i="78"/>
  <c r="BH1753" i="78"/>
  <c r="BG1753" i="78"/>
  <c r="BE1753" i="78"/>
  <c r="T1753" i="78"/>
  <c r="R1753" i="78"/>
  <c r="P1753" i="78"/>
  <c r="J1753" i="78"/>
  <c r="BF1753" i="78" s="1"/>
  <c r="BK1741" i="78"/>
  <c r="BI1741" i="78"/>
  <c r="BH1741" i="78"/>
  <c r="BG1741" i="78"/>
  <c r="BE1741" i="78"/>
  <c r="T1741" i="78"/>
  <c r="R1741" i="78"/>
  <c r="P1741" i="78"/>
  <c r="J1741" i="78"/>
  <c r="BF1741" i="78" s="1"/>
  <c r="BK1705" i="78"/>
  <c r="BI1705" i="78"/>
  <c r="BH1705" i="78"/>
  <c r="BG1705" i="78"/>
  <c r="BE1705" i="78"/>
  <c r="T1705" i="78"/>
  <c r="R1705" i="78"/>
  <c r="P1705" i="78"/>
  <c r="J1705" i="78"/>
  <c r="BF1705" i="78" s="1"/>
  <c r="BK1684" i="78"/>
  <c r="BI1684" i="78"/>
  <c r="BH1684" i="78"/>
  <c r="BG1684" i="78"/>
  <c r="BE1684" i="78"/>
  <c r="T1684" i="78"/>
  <c r="R1684" i="78"/>
  <c r="P1684" i="78"/>
  <c r="J1684" i="78"/>
  <c r="BF1684" i="78" s="1"/>
  <c r="BK1664" i="78"/>
  <c r="BI1664" i="78"/>
  <c r="BH1664" i="78"/>
  <c r="BG1664" i="78"/>
  <c r="BE1664" i="78"/>
  <c r="T1664" i="78"/>
  <c r="R1664" i="78"/>
  <c r="P1664" i="78"/>
  <c r="J1664" i="78"/>
  <c r="BF1664" i="78" s="1"/>
  <c r="BK1644" i="78"/>
  <c r="BI1644" i="78"/>
  <c r="BH1644" i="78"/>
  <c r="BG1644" i="78"/>
  <c r="BE1644" i="78"/>
  <c r="T1644" i="78"/>
  <c r="R1644" i="78"/>
  <c r="P1644" i="78"/>
  <c r="J1644" i="78"/>
  <c r="BF1644" i="78" s="1"/>
  <c r="BK1639" i="78"/>
  <c r="BI1639" i="78"/>
  <c r="BH1639" i="78"/>
  <c r="BG1639" i="78"/>
  <c r="BE1639" i="78"/>
  <c r="T1639" i="78"/>
  <c r="R1639" i="78"/>
  <c r="P1639" i="78"/>
  <c r="J1639" i="78"/>
  <c r="BF1639" i="78" s="1"/>
  <c r="BK1634" i="78"/>
  <c r="BI1634" i="78"/>
  <c r="BH1634" i="78"/>
  <c r="BG1634" i="78"/>
  <c r="BE1634" i="78"/>
  <c r="T1634" i="78"/>
  <c r="R1634" i="78"/>
  <c r="P1634" i="78"/>
  <c r="J1634" i="78"/>
  <c r="BF1634" i="78" s="1"/>
  <c r="BK1630" i="78"/>
  <c r="BI1630" i="78"/>
  <c r="BH1630" i="78"/>
  <c r="BG1630" i="78"/>
  <c r="BE1630" i="78"/>
  <c r="T1630" i="78"/>
  <c r="R1630" i="78"/>
  <c r="P1630" i="78"/>
  <c r="J1630" i="78"/>
  <c r="BF1630" i="78" s="1"/>
  <c r="BK1628" i="78"/>
  <c r="BI1628" i="78"/>
  <c r="BH1628" i="78"/>
  <c r="BG1628" i="78"/>
  <c r="BE1628" i="78"/>
  <c r="T1628" i="78"/>
  <c r="R1628" i="78"/>
  <c r="P1628" i="78"/>
  <c r="J1628" i="78"/>
  <c r="BF1628" i="78" s="1"/>
  <c r="BK1627" i="78"/>
  <c r="BI1627" i="78"/>
  <c r="BH1627" i="78"/>
  <c r="BG1627" i="78"/>
  <c r="BE1627" i="78"/>
  <c r="T1627" i="78"/>
  <c r="R1627" i="78"/>
  <c r="P1627" i="78"/>
  <c r="J1627" i="78"/>
  <c r="BF1627"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14" i="78"/>
  <c r="BI1614" i="78"/>
  <c r="BH1614" i="78"/>
  <c r="BG1614" i="78"/>
  <c r="BE1614" i="78"/>
  <c r="T1614" i="78"/>
  <c r="R1614" i="78"/>
  <c r="P1614" i="78"/>
  <c r="J1614" i="78"/>
  <c r="BF1614" i="78" s="1"/>
  <c r="BK1610" i="78"/>
  <c r="BI1610" i="78"/>
  <c r="BH1610" i="78"/>
  <c r="BG1610" i="78"/>
  <c r="BE1610" i="78"/>
  <c r="T1610" i="78"/>
  <c r="R1610" i="78"/>
  <c r="P1610" i="78"/>
  <c r="J1610" i="78"/>
  <c r="BF1610"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7" i="78"/>
  <c r="BI1597" i="78"/>
  <c r="BH1597" i="78"/>
  <c r="BG1597" i="78"/>
  <c r="BE1597" i="78"/>
  <c r="T1597" i="78"/>
  <c r="R1597" i="78"/>
  <c r="P1597" i="78"/>
  <c r="J1597" i="78"/>
  <c r="BF1597" i="78" s="1"/>
  <c r="BK1595" i="78"/>
  <c r="BI1595" i="78"/>
  <c r="BH1595" i="78"/>
  <c r="BG1595" i="78"/>
  <c r="BE1595" i="78"/>
  <c r="T1595" i="78"/>
  <c r="R1595" i="78"/>
  <c r="P1595" i="78"/>
  <c r="J1595" i="78"/>
  <c r="BF1595" i="78" s="1"/>
  <c r="BK1594" i="78"/>
  <c r="BI1594" i="78"/>
  <c r="BH1594" i="78"/>
  <c r="BG1594" i="78"/>
  <c r="BE1594" i="78"/>
  <c r="T1594" i="78"/>
  <c r="R1594" i="78"/>
  <c r="P1594" i="78"/>
  <c r="J1594" i="78"/>
  <c r="BF1594"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88" i="78"/>
  <c r="BI1588" i="78"/>
  <c r="BH1588" i="78"/>
  <c r="BG1588" i="78"/>
  <c r="BE1588" i="78"/>
  <c r="T1588" i="78"/>
  <c r="R1588" i="78"/>
  <c r="P1588" i="78"/>
  <c r="J1588" i="78"/>
  <c r="BF1588" i="78" s="1"/>
  <c r="BI1584" i="78"/>
  <c r="BH1584" i="78"/>
  <c r="BG1584" i="78"/>
  <c r="BE1584" i="78"/>
  <c r="T1584" i="78"/>
  <c r="R1584" i="78"/>
  <c r="P1584" i="78"/>
  <c r="BF1584" i="78"/>
  <c r="BI1569" i="78"/>
  <c r="BH1569" i="78"/>
  <c r="BG1569" i="78"/>
  <c r="BE1569" i="78"/>
  <c r="T1569" i="78"/>
  <c r="R1569" i="78"/>
  <c r="P1569" i="78"/>
  <c r="BF1569" i="78"/>
  <c r="BI1549" i="78"/>
  <c r="BH1549" i="78"/>
  <c r="BG1549" i="78"/>
  <c r="BE1549" i="78"/>
  <c r="T1549" i="78"/>
  <c r="R1549" i="78"/>
  <c r="P1549" i="78"/>
  <c r="BF1549" i="78"/>
  <c r="BI1547" i="78"/>
  <c r="BH1547" i="78"/>
  <c r="BG1547" i="78"/>
  <c r="BE1547" i="78"/>
  <c r="T1547" i="78"/>
  <c r="R1547" i="78"/>
  <c r="P1547" i="78"/>
  <c r="BF1547" i="78"/>
  <c r="BI1526" i="78"/>
  <c r="BH1526" i="78"/>
  <c r="BG1526" i="78"/>
  <c r="BE1526" i="78"/>
  <c r="T1526" i="78"/>
  <c r="R1526" i="78"/>
  <c r="P1526" i="78"/>
  <c r="BF1526" i="78"/>
  <c r="BI1521" i="78"/>
  <c r="BH1521" i="78"/>
  <c r="BG1521" i="78"/>
  <c r="BE1521" i="78"/>
  <c r="T1521" i="78"/>
  <c r="R1521" i="78"/>
  <c r="P1521" i="78"/>
  <c r="BF1521" i="78"/>
  <c r="BI1517" i="78"/>
  <c r="BH1517" i="78"/>
  <c r="BG1517" i="78"/>
  <c r="BE1517" i="78"/>
  <c r="T1517" i="78"/>
  <c r="R1517" i="78"/>
  <c r="P1517" i="78"/>
  <c r="BF1517" i="78"/>
  <c r="BI1510" i="78"/>
  <c r="BH1510" i="78"/>
  <c r="BG1510" i="78"/>
  <c r="BE1510" i="78"/>
  <c r="T1510" i="78"/>
  <c r="R1510" i="78"/>
  <c r="P1510" i="78"/>
  <c r="BF1510" i="78"/>
  <c r="BI1502" i="78"/>
  <c r="BH1502" i="78"/>
  <c r="BG1502" i="78"/>
  <c r="BE1502" i="78"/>
  <c r="T1502" i="78"/>
  <c r="R1502" i="78"/>
  <c r="P1502" i="78"/>
  <c r="BF1502" i="78"/>
  <c r="BI1491" i="78"/>
  <c r="BH1491" i="78"/>
  <c r="BG1491" i="78"/>
  <c r="BE1491" i="78"/>
  <c r="T1491" i="78"/>
  <c r="R1491" i="78"/>
  <c r="P1491" i="78"/>
  <c r="BF1491" i="78"/>
  <c r="BI1452" i="78"/>
  <c r="BH1452" i="78"/>
  <c r="BG1452" i="78"/>
  <c r="BE1452" i="78"/>
  <c r="T1452" i="78"/>
  <c r="R1452" i="78"/>
  <c r="P1452" i="78"/>
  <c r="BF1452" i="78"/>
  <c r="BI1414" i="78"/>
  <c r="BH1414" i="78"/>
  <c r="BG1414" i="78"/>
  <c r="BE1414" i="78"/>
  <c r="T1414" i="78"/>
  <c r="R1414" i="78"/>
  <c r="P1414" i="78"/>
  <c r="BF1414" i="78"/>
  <c r="BK1411" i="78"/>
  <c r="BI1411" i="78"/>
  <c r="BH1411" i="78"/>
  <c r="BG1411" i="78"/>
  <c r="BE1411" i="78"/>
  <c r="T1411" i="78"/>
  <c r="R1411" i="78"/>
  <c r="P1411" i="78"/>
  <c r="J1411" i="78"/>
  <c r="BF1411" i="78" s="1"/>
  <c r="BK1408" i="78"/>
  <c r="BI1408" i="78"/>
  <c r="BH1408" i="78"/>
  <c r="BG1408" i="78"/>
  <c r="BE1408" i="78"/>
  <c r="T1408" i="78"/>
  <c r="R1408" i="78"/>
  <c r="P1408" i="78"/>
  <c r="J1408" i="78"/>
  <c r="BF1408" i="78" s="1"/>
  <c r="BK1404" i="78"/>
  <c r="BI1404" i="78"/>
  <c r="BH1404" i="78"/>
  <c r="BG1404" i="78"/>
  <c r="BE1404" i="78"/>
  <c r="T1404" i="78"/>
  <c r="R1404" i="78"/>
  <c r="P1404" i="78"/>
  <c r="J1404" i="78"/>
  <c r="BF1404" i="78" s="1"/>
  <c r="BK1401" i="78"/>
  <c r="BI1401" i="78"/>
  <c r="BH1401" i="78"/>
  <c r="BG1401" i="78"/>
  <c r="BE1401" i="78"/>
  <c r="T1401" i="78"/>
  <c r="R1401" i="78"/>
  <c r="P1401" i="78"/>
  <c r="J1401" i="78"/>
  <c r="BF1401" i="78" s="1"/>
  <c r="BK1398" i="78"/>
  <c r="BI1398" i="78"/>
  <c r="BH1398" i="78"/>
  <c r="BG1398" i="78"/>
  <c r="BE1398" i="78"/>
  <c r="T1398" i="78"/>
  <c r="R1398" i="78"/>
  <c r="P1398" i="78"/>
  <c r="J1398" i="78"/>
  <c r="BF1398" i="78" s="1"/>
  <c r="BK1394" i="78"/>
  <c r="BI1394" i="78"/>
  <c r="BH1394" i="78"/>
  <c r="BG1394" i="78"/>
  <c r="BE1394" i="78"/>
  <c r="T1394" i="78"/>
  <c r="R1394" i="78"/>
  <c r="P1394" i="78"/>
  <c r="J1394" i="78"/>
  <c r="BF1394" i="78" s="1"/>
  <c r="BI1393" i="78"/>
  <c r="BH1393" i="78"/>
  <c r="BG1393" i="78"/>
  <c r="BE1393" i="78"/>
  <c r="T1393" i="78"/>
  <c r="R1393" i="78"/>
  <c r="P1393" i="78"/>
  <c r="BF1393" i="78"/>
  <c r="BI1390" i="78"/>
  <c r="BH1390" i="78"/>
  <c r="BG1390" i="78"/>
  <c r="BE1390" i="78"/>
  <c r="T1390" i="78"/>
  <c r="R1390" i="78"/>
  <c r="P1390" i="78"/>
  <c r="BF1390" i="78"/>
  <c r="BI1389" i="78"/>
  <c r="BH1389" i="78"/>
  <c r="BG1389" i="78"/>
  <c r="BE1389" i="78"/>
  <c r="T1389" i="78"/>
  <c r="R1389" i="78"/>
  <c r="P1389" i="78"/>
  <c r="BF1389" i="78"/>
  <c r="BI1383" i="78"/>
  <c r="BH1383" i="78"/>
  <c r="BG1383" i="78"/>
  <c r="BE1383" i="78"/>
  <c r="T1383" i="78"/>
  <c r="R1383" i="78"/>
  <c r="P1383" i="78"/>
  <c r="BF1383" i="78"/>
  <c r="BI1382" i="78"/>
  <c r="BH1382" i="78"/>
  <c r="BG1382" i="78"/>
  <c r="BE1382" i="78"/>
  <c r="T1382" i="78"/>
  <c r="R1382" i="78"/>
  <c r="P1382" i="78"/>
  <c r="BF1382" i="78"/>
  <c r="BI1380" i="78"/>
  <c r="BH1380" i="78"/>
  <c r="BG1380" i="78"/>
  <c r="BE1380" i="78"/>
  <c r="T1380" i="78"/>
  <c r="R1380" i="78"/>
  <c r="P1380" i="78"/>
  <c r="BF1380" i="78"/>
  <c r="BI1379" i="78"/>
  <c r="BH1379" i="78"/>
  <c r="BG1379" i="78"/>
  <c r="BE1379" i="78"/>
  <c r="T1379" i="78"/>
  <c r="R1379" i="78"/>
  <c r="P1379" i="78"/>
  <c r="BF1379" i="78"/>
  <c r="BI1371" i="78"/>
  <c r="BH1371" i="78"/>
  <c r="BG1371" i="78"/>
  <c r="BE1371" i="78"/>
  <c r="T1371" i="78"/>
  <c r="R1371" i="78"/>
  <c r="P1371" i="78"/>
  <c r="BF1371" i="78"/>
  <c r="BI1365" i="78"/>
  <c r="BH1365" i="78"/>
  <c r="BG1365" i="78"/>
  <c r="BE1365" i="78"/>
  <c r="T1365" i="78"/>
  <c r="R1365" i="78"/>
  <c r="P1365" i="78"/>
  <c r="BF1365" i="78"/>
  <c r="BI1359" i="78"/>
  <c r="BH1359" i="78"/>
  <c r="BG1359" i="78"/>
  <c r="BE1359" i="78"/>
  <c r="T1359" i="78"/>
  <c r="R1359" i="78"/>
  <c r="P1359" i="78"/>
  <c r="BF1359" i="78"/>
  <c r="BI1358" i="78"/>
  <c r="BH1358" i="78"/>
  <c r="BG1358" i="78"/>
  <c r="BE1358" i="78"/>
  <c r="T1358" i="78"/>
  <c r="R1358" i="78"/>
  <c r="P1358" i="78"/>
  <c r="BF1358" i="78"/>
  <c r="BI1354" i="78"/>
  <c r="BH1354" i="78"/>
  <c r="BG1354" i="78"/>
  <c r="BE1354" i="78"/>
  <c r="T1354" i="78"/>
  <c r="R1354" i="78"/>
  <c r="P1354" i="78"/>
  <c r="BF1354" i="78"/>
  <c r="BI1351" i="78"/>
  <c r="BH1351" i="78"/>
  <c r="BG1351" i="78"/>
  <c r="BE1351" i="78"/>
  <c r="T1351" i="78"/>
  <c r="R1351" i="78"/>
  <c r="P1351" i="78"/>
  <c r="BF1351" i="78"/>
  <c r="BI1349" i="78"/>
  <c r="BH1349" i="78"/>
  <c r="BG1349" i="78"/>
  <c r="BE1349" i="78"/>
  <c r="T1349" i="78"/>
  <c r="R1349" i="78"/>
  <c r="P1349" i="78"/>
  <c r="BF1349" i="78"/>
  <c r="BK1346" i="78"/>
  <c r="BI1346" i="78"/>
  <c r="BH1346" i="78"/>
  <c r="BG1346" i="78"/>
  <c r="BE1346" i="78"/>
  <c r="T1346" i="78"/>
  <c r="R1346" i="78"/>
  <c r="P1346" i="78"/>
  <c r="J1346" i="78"/>
  <c r="BF1346" i="78" s="1"/>
  <c r="BK1342" i="78"/>
  <c r="BI1342" i="78"/>
  <c r="BH1342" i="78"/>
  <c r="BG1342" i="78"/>
  <c r="BE1342" i="78"/>
  <c r="T1342" i="78"/>
  <c r="R1342" i="78"/>
  <c r="P1342" i="78"/>
  <c r="J1342" i="78"/>
  <c r="BF1342" i="78" s="1"/>
  <c r="BI1341" i="78"/>
  <c r="BH1341" i="78"/>
  <c r="BG1341" i="78"/>
  <c r="BE1341" i="78"/>
  <c r="T1341" i="78"/>
  <c r="R1341" i="78"/>
  <c r="P1341" i="78"/>
  <c r="BF1341" i="78"/>
  <c r="BI1340" i="78"/>
  <c r="BH1340" i="78"/>
  <c r="BG1340" i="78"/>
  <c r="BE1340" i="78"/>
  <c r="T1340" i="78"/>
  <c r="R1340" i="78"/>
  <c r="P1340" i="78"/>
  <c r="BF1340" i="78"/>
  <c r="BI1315" i="78"/>
  <c r="BH1315" i="78"/>
  <c r="BG1315" i="78"/>
  <c r="BE1315" i="78"/>
  <c r="T1315" i="78"/>
  <c r="R1315" i="78"/>
  <c r="P1315" i="78"/>
  <c r="BF1315" i="78"/>
  <c r="BI1314" i="78"/>
  <c r="BH1314" i="78"/>
  <c r="BG1314" i="78"/>
  <c r="BE1314" i="78"/>
  <c r="T1314" i="78"/>
  <c r="R1314" i="78"/>
  <c r="P1314" i="78"/>
  <c r="BF1314" i="78"/>
  <c r="BI1306" i="78"/>
  <c r="BH1306" i="78"/>
  <c r="BG1306" i="78"/>
  <c r="BE1306" i="78"/>
  <c r="T1306" i="78"/>
  <c r="R1306" i="78"/>
  <c r="P1306" i="78"/>
  <c r="BF1306" i="78"/>
  <c r="BI1298" i="78"/>
  <c r="BH1298" i="78"/>
  <c r="BG1298" i="78"/>
  <c r="BE1298" i="78"/>
  <c r="T1298" i="78"/>
  <c r="R1298" i="78"/>
  <c r="P1298" i="78"/>
  <c r="BF1298" i="78"/>
  <c r="BI1297" i="78"/>
  <c r="BH1297" i="78"/>
  <c r="BG1297" i="78"/>
  <c r="BE1297" i="78"/>
  <c r="T1297" i="78"/>
  <c r="R1297" i="78"/>
  <c r="P1297" i="78"/>
  <c r="BF1297" i="78"/>
  <c r="BI1296" i="78"/>
  <c r="BH1296" i="78"/>
  <c r="BG1296" i="78"/>
  <c r="BE1296" i="78"/>
  <c r="T1296" i="78"/>
  <c r="R1296" i="78"/>
  <c r="P1296" i="78"/>
  <c r="BF1296" i="78"/>
  <c r="BI1266" i="78"/>
  <c r="BH1266" i="78"/>
  <c r="BG1266" i="78"/>
  <c r="BE1266" i="78"/>
  <c r="T1266" i="78"/>
  <c r="R1266" i="78"/>
  <c r="P1266" i="78"/>
  <c r="BF1266" i="78"/>
  <c r="BI1262" i="78"/>
  <c r="BH1262" i="78"/>
  <c r="BG1262" i="78"/>
  <c r="BE1262" i="78"/>
  <c r="T1262" i="78"/>
  <c r="R1262" i="78"/>
  <c r="P1262" i="78"/>
  <c r="BF1262" i="78"/>
  <c r="BI1256" i="78"/>
  <c r="BH1256" i="78"/>
  <c r="BG1256" i="78"/>
  <c r="BE1256" i="78"/>
  <c r="T1256" i="78"/>
  <c r="R1256" i="78"/>
  <c r="P1256" i="78"/>
  <c r="BF1256" i="78"/>
  <c r="BI1253" i="78"/>
  <c r="BH1253" i="78"/>
  <c r="BG1253" i="78"/>
  <c r="BE1253" i="78"/>
  <c r="T1253" i="78"/>
  <c r="R1253" i="78"/>
  <c r="P1253" i="78"/>
  <c r="BF1253" i="78"/>
  <c r="BI1243" i="78"/>
  <c r="BH1243" i="78"/>
  <c r="BG1243" i="78"/>
  <c r="BE1243" i="78"/>
  <c r="T1243" i="78"/>
  <c r="R1243" i="78"/>
  <c r="P1243" i="78"/>
  <c r="BF1243" i="78"/>
  <c r="BI1233" i="78"/>
  <c r="BH1233" i="78"/>
  <c r="BG1233" i="78"/>
  <c r="BE1233" i="78"/>
  <c r="T1233" i="78"/>
  <c r="R1233" i="78"/>
  <c r="P1233" i="78"/>
  <c r="BF1233" i="78"/>
  <c r="BI1232" i="78"/>
  <c r="BH1232" i="78"/>
  <c r="BG1232" i="78"/>
  <c r="BE1232" i="78"/>
  <c r="T1232" i="78"/>
  <c r="R1232" i="78"/>
  <c r="P1232" i="78"/>
  <c r="BF1232" i="78"/>
  <c r="BI1229" i="78"/>
  <c r="BH1229" i="78"/>
  <c r="BG1229" i="78"/>
  <c r="BE1229" i="78"/>
  <c r="T1229" i="78"/>
  <c r="R1229" i="78"/>
  <c r="P1229" i="78"/>
  <c r="BF1229" i="78"/>
  <c r="BI1225" i="78"/>
  <c r="BH1225" i="78"/>
  <c r="BG1225" i="78"/>
  <c r="BE1225" i="78"/>
  <c r="T1225" i="78"/>
  <c r="R1225" i="78"/>
  <c r="P1225" i="78"/>
  <c r="BF1225" i="78"/>
  <c r="BI1217" i="78"/>
  <c r="BH1217" i="78"/>
  <c r="BG1217" i="78"/>
  <c r="BE1217" i="78"/>
  <c r="T1217" i="78"/>
  <c r="R1217" i="78"/>
  <c r="P1217" i="78"/>
  <c r="BF1217" i="78"/>
  <c r="BI1209" i="78"/>
  <c r="BH1209" i="78"/>
  <c r="BG1209" i="78"/>
  <c r="BE1209" i="78"/>
  <c r="T1209" i="78"/>
  <c r="R1209" i="78"/>
  <c r="P1209" i="78"/>
  <c r="BF1209" i="78"/>
  <c r="BI1199" i="78"/>
  <c r="BH1199" i="78"/>
  <c r="BG1199" i="78"/>
  <c r="BE1199" i="78"/>
  <c r="T1199" i="78"/>
  <c r="R1199" i="78"/>
  <c r="P1199" i="78"/>
  <c r="BF1199" i="78"/>
  <c r="BI1189" i="78"/>
  <c r="BH1189" i="78"/>
  <c r="BG1189" i="78"/>
  <c r="BE1189" i="78"/>
  <c r="T1189" i="78"/>
  <c r="R1189" i="78"/>
  <c r="P1189" i="78"/>
  <c r="BF1189" i="78"/>
  <c r="BI1185" i="78"/>
  <c r="BH1185" i="78"/>
  <c r="BG1185" i="78"/>
  <c r="BE1185" i="78"/>
  <c r="T1185" i="78"/>
  <c r="R1185" i="78"/>
  <c r="P1185" i="78"/>
  <c r="BF1185" i="78"/>
  <c r="BI1181" i="78"/>
  <c r="BH1181" i="78"/>
  <c r="BG1181" i="78"/>
  <c r="BE1181" i="78"/>
  <c r="T1181" i="78"/>
  <c r="R1181" i="78"/>
  <c r="P1181" i="78"/>
  <c r="BF1181" i="78"/>
  <c r="BI1175" i="78"/>
  <c r="BH1175" i="78"/>
  <c r="BG1175" i="78"/>
  <c r="BE1175" i="78"/>
  <c r="T1175" i="78"/>
  <c r="R1175" i="78"/>
  <c r="P1175" i="78"/>
  <c r="BF1175" i="78"/>
  <c r="BI1168" i="78"/>
  <c r="BH1168" i="78"/>
  <c r="BG1168" i="78"/>
  <c r="BE1168" i="78"/>
  <c r="T1168" i="78"/>
  <c r="R1168" i="78"/>
  <c r="P1168" i="78"/>
  <c r="BF1168" i="78"/>
  <c r="BI1161" i="78"/>
  <c r="BH1161" i="78"/>
  <c r="BG1161" i="78"/>
  <c r="BE1161" i="78"/>
  <c r="T1161" i="78"/>
  <c r="R1161" i="78"/>
  <c r="P1161" i="78"/>
  <c r="BF1161" i="78"/>
  <c r="BK1147" i="78"/>
  <c r="BI1147" i="78"/>
  <c r="BH1147" i="78"/>
  <c r="BG1147" i="78"/>
  <c r="BE1147" i="78"/>
  <c r="T1147" i="78"/>
  <c r="R1147" i="78"/>
  <c r="P1147" i="78"/>
  <c r="J1147" i="78"/>
  <c r="BF1147" i="78" s="1"/>
  <c r="BK1146" i="78"/>
  <c r="BI1146" i="78"/>
  <c r="BH1146" i="78"/>
  <c r="BG1146" i="78"/>
  <c r="BE1146" i="78"/>
  <c r="T1146" i="78"/>
  <c r="R1146" i="78"/>
  <c r="P1146" i="78"/>
  <c r="J1146" i="78"/>
  <c r="BF1146" i="78" s="1"/>
  <c r="BK1134" i="78"/>
  <c r="BI1134" i="78"/>
  <c r="BH1134" i="78"/>
  <c r="BG1134" i="78"/>
  <c r="BE1134" i="78"/>
  <c r="T1134" i="78"/>
  <c r="R1134" i="78"/>
  <c r="P1134" i="78"/>
  <c r="J1134" i="78"/>
  <c r="BF1134" i="78" s="1"/>
  <c r="BK1125" i="78"/>
  <c r="BI1125" i="78"/>
  <c r="BH1125" i="78"/>
  <c r="BG1125" i="78"/>
  <c r="BE1125" i="78"/>
  <c r="T1125" i="78"/>
  <c r="R1125" i="78"/>
  <c r="P1125" i="78"/>
  <c r="J1125" i="78"/>
  <c r="BF1125" i="78" s="1"/>
  <c r="BK1117" i="78"/>
  <c r="BI1117" i="78"/>
  <c r="BH1117" i="78"/>
  <c r="BG1117" i="78"/>
  <c r="BE1117" i="78"/>
  <c r="T1117" i="78"/>
  <c r="R1117" i="78"/>
  <c r="P1117" i="78"/>
  <c r="J1117" i="78"/>
  <c r="BF1117" i="78" s="1"/>
  <c r="BK1082" i="78"/>
  <c r="BI1082" i="78"/>
  <c r="BH1082" i="78"/>
  <c r="BG1082" i="78"/>
  <c r="BE1082" i="78"/>
  <c r="T1082" i="78"/>
  <c r="R1082" i="78"/>
  <c r="P1082" i="78"/>
  <c r="J1082" i="78"/>
  <c r="BF1082" i="78" s="1"/>
  <c r="BK1049" i="78"/>
  <c r="BI1049" i="78"/>
  <c r="BH1049" i="78"/>
  <c r="BG1049" i="78"/>
  <c r="BE1049" i="78"/>
  <c r="T1049" i="78"/>
  <c r="R1049" i="78"/>
  <c r="P1049" i="78"/>
  <c r="J1049" i="78"/>
  <c r="BF1049" i="78" s="1"/>
  <c r="BK1044" i="78"/>
  <c r="BI1044" i="78"/>
  <c r="BH1044" i="78"/>
  <c r="BG1044" i="78"/>
  <c r="BE1044" i="78"/>
  <c r="T1044" i="78"/>
  <c r="R1044" i="78"/>
  <c r="P1044" i="78"/>
  <c r="J1044" i="78"/>
  <c r="BF1044" i="78" s="1"/>
  <c r="BK1041" i="78"/>
  <c r="BI1041" i="78"/>
  <c r="BH1041" i="78"/>
  <c r="BG1041" i="78"/>
  <c r="BE1041" i="78"/>
  <c r="T1041" i="78"/>
  <c r="R1041" i="78"/>
  <c r="P1041" i="78"/>
  <c r="J1041" i="78"/>
  <c r="BF1041" i="78" s="1"/>
  <c r="BK1036" i="78"/>
  <c r="BI1036" i="78"/>
  <c r="BH1036" i="78"/>
  <c r="BG1036" i="78"/>
  <c r="BE1036" i="78"/>
  <c r="T1036" i="78"/>
  <c r="R1036" i="78"/>
  <c r="P1036" i="78"/>
  <c r="J1036" i="78"/>
  <c r="BF1036" i="78" s="1"/>
  <c r="BK1033" i="78"/>
  <c r="BI1033" i="78"/>
  <c r="BH1033" i="78"/>
  <c r="BG1033" i="78"/>
  <c r="BE1033" i="78"/>
  <c r="T1033" i="78"/>
  <c r="R1033" i="78"/>
  <c r="P1033" i="78"/>
  <c r="J1033" i="78"/>
  <c r="BF1033" i="78" s="1"/>
  <c r="BK1029" i="78"/>
  <c r="BI1029" i="78"/>
  <c r="BH1029" i="78"/>
  <c r="BG1029" i="78"/>
  <c r="BE1029" i="78"/>
  <c r="T1029" i="78"/>
  <c r="R1029" i="78"/>
  <c r="P1029" i="78"/>
  <c r="J1029" i="78"/>
  <c r="BF1029" i="78" s="1"/>
  <c r="BK1025" i="78"/>
  <c r="BI1025" i="78"/>
  <c r="BH1025" i="78"/>
  <c r="BG1025" i="78"/>
  <c r="BE1025" i="78"/>
  <c r="T1025" i="78"/>
  <c r="R1025" i="78"/>
  <c r="P1025" i="78"/>
  <c r="J1025" i="78"/>
  <c r="BF1025" i="78" s="1"/>
  <c r="BK1024" i="78"/>
  <c r="BI1024" i="78"/>
  <c r="BH1024" i="78"/>
  <c r="BG1024" i="78"/>
  <c r="BE1024" i="78"/>
  <c r="T1024" i="78"/>
  <c r="R1024" i="78"/>
  <c r="P1024" i="78"/>
  <c r="J1024" i="78"/>
  <c r="BF1024" i="78" s="1"/>
  <c r="BK1018" i="78"/>
  <c r="BI1018" i="78"/>
  <c r="BH1018" i="78"/>
  <c r="BG1018" i="78"/>
  <c r="BE1018" i="78"/>
  <c r="T1018" i="78"/>
  <c r="R1018" i="78"/>
  <c r="P1018" i="78"/>
  <c r="J1018" i="78"/>
  <c r="BF1018" i="78" s="1"/>
  <c r="BK1016" i="78"/>
  <c r="BI1016" i="78"/>
  <c r="BH1016" i="78"/>
  <c r="BG1016" i="78"/>
  <c r="BE1016" i="78"/>
  <c r="T1016" i="78"/>
  <c r="R1016" i="78"/>
  <c r="P1016" i="78"/>
  <c r="J1016" i="78"/>
  <c r="BF1016" i="78" s="1"/>
  <c r="BK1012" i="78"/>
  <c r="BI1012" i="78"/>
  <c r="BH1012" i="78"/>
  <c r="BG1012" i="78"/>
  <c r="BE1012" i="78"/>
  <c r="T1012" i="78"/>
  <c r="R1012" i="78"/>
  <c r="P1012" i="78"/>
  <c r="J1012" i="78"/>
  <c r="BF1012" i="78" s="1"/>
  <c r="BK1008" i="78"/>
  <c r="BI1008" i="78"/>
  <c r="BH1008" i="78"/>
  <c r="BG1008" i="78"/>
  <c r="BE1008" i="78"/>
  <c r="T1008" i="78"/>
  <c r="R1008" i="78"/>
  <c r="P1008" i="78"/>
  <c r="J1008" i="78"/>
  <c r="BF1008" i="78" s="1"/>
  <c r="BK1006" i="78"/>
  <c r="BI1006" i="78"/>
  <c r="BH1006" i="78"/>
  <c r="BG1006" i="78"/>
  <c r="BE1006" i="78"/>
  <c r="T1006" i="78"/>
  <c r="R1006" i="78"/>
  <c r="P1006" i="78"/>
  <c r="J1006" i="78"/>
  <c r="BF1006" i="78" s="1"/>
  <c r="BK993" i="78"/>
  <c r="BI993" i="78"/>
  <c r="BH993" i="78"/>
  <c r="BG993" i="78"/>
  <c r="BE993" i="78"/>
  <c r="T993" i="78"/>
  <c r="R993" i="78"/>
  <c r="P993" i="78"/>
  <c r="J993" i="78"/>
  <c r="BF993" i="78" s="1"/>
  <c r="BK988" i="78"/>
  <c r="BI988" i="78"/>
  <c r="BH988" i="78"/>
  <c r="BG988" i="78"/>
  <c r="BE988" i="78"/>
  <c r="T988" i="78"/>
  <c r="R988" i="78"/>
  <c r="P988" i="78"/>
  <c r="J988" i="78"/>
  <c r="BF988" i="78" s="1"/>
  <c r="BK983" i="78"/>
  <c r="BI983" i="78"/>
  <c r="BH983" i="78"/>
  <c r="BG983" i="78"/>
  <c r="BE983" i="78"/>
  <c r="T983" i="78"/>
  <c r="R983" i="78"/>
  <c r="P983" i="78"/>
  <c r="J983" i="78"/>
  <c r="BF983" i="78" s="1"/>
  <c r="BK977" i="78"/>
  <c r="BI977" i="78"/>
  <c r="BH977" i="78"/>
  <c r="BG977" i="78"/>
  <c r="BE977" i="78"/>
  <c r="T977" i="78"/>
  <c r="R977" i="78"/>
  <c r="P977" i="78"/>
  <c r="J977" i="78"/>
  <c r="BF977" i="78" s="1"/>
  <c r="BK957" i="78"/>
  <c r="BI957" i="78"/>
  <c r="BH957" i="78"/>
  <c r="BG957" i="78"/>
  <c r="BE957" i="78"/>
  <c r="T957" i="78"/>
  <c r="R957" i="78"/>
  <c r="P957" i="78"/>
  <c r="J957" i="78"/>
  <c r="BF957" i="78" s="1"/>
  <c r="BK936" i="78"/>
  <c r="BI936" i="78"/>
  <c r="BH936" i="78"/>
  <c r="BG936" i="78"/>
  <c r="BE936" i="78"/>
  <c r="T936" i="78"/>
  <c r="R936" i="78"/>
  <c r="P936" i="78"/>
  <c r="J936" i="78"/>
  <c r="BF936" i="78" s="1"/>
  <c r="BK932" i="78"/>
  <c r="BI932" i="78"/>
  <c r="BH932" i="78"/>
  <c r="BG932" i="78"/>
  <c r="BE932" i="78"/>
  <c r="T932" i="78"/>
  <c r="R932" i="78"/>
  <c r="P932" i="78"/>
  <c r="J932" i="78"/>
  <c r="BF932" i="78" s="1"/>
  <c r="BK931" i="78"/>
  <c r="BI931" i="78"/>
  <c r="BH931" i="78"/>
  <c r="BG931" i="78"/>
  <c r="BE931" i="78"/>
  <c r="T931" i="78"/>
  <c r="R931" i="78"/>
  <c r="P931" i="78"/>
  <c r="J931" i="78"/>
  <c r="BF931" i="78" s="1"/>
  <c r="BK923" i="78"/>
  <c r="BI923" i="78"/>
  <c r="BH923" i="78"/>
  <c r="BG923" i="78"/>
  <c r="BE923" i="78"/>
  <c r="T923" i="78"/>
  <c r="R923" i="78"/>
  <c r="P923" i="78"/>
  <c r="J923" i="78"/>
  <c r="BF923" i="78" s="1"/>
  <c r="BK921" i="78"/>
  <c r="BI921" i="78"/>
  <c r="BH921" i="78"/>
  <c r="BG921" i="78"/>
  <c r="BE921" i="78"/>
  <c r="T921" i="78"/>
  <c r="R921" i="78"/>
  <c r="P921" i="78"/>
  <c r="J921" i="78"/>
  <c r="BF921" i="78" s="1"/>
  <c r="BK917" i="78"/>
  <c r="BI917" i="78"/>
  <c r="BH917" i="78"/>
  <c r="BG917" i="78"/>
  <c r="BE917" i="78"/>
  <c r="T917" i="78"/>
  <c r="R917" i="78"/>
  <c r="P917" i="78"/>
  <c r="J917" i="78"/>
  <c r="BF917"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8" i="78"/>
  <c r="BI908" i="78"/>
  <c r="BH908" i="78"/>
  <c r="BG908" i="78"/>
  <c r="BE908" i="78"/>
  <c r="T908" i="78"/>
  <c r="R908" i="78"/>
  <c r="P908" i="78"/>
  <c r="J908" i="78"/>
  <c r="BF908" i="78" s="1"/>
  <c r="BK906" i="78"/>
  <c r="BI906" i="78"/>
  <c r="BH906" i="78"/>
  <c r="BG906" i="78"/>
  <c r="BE906" i="78"/>
  <c r="T906" i="78"/>
  <c r="R906" i="78"/>
  <c r="P906" i="78"/>
  <c r="J906" i="78"/>
  <c r="BF906" i="78" s="1"/>
  <c r="BK905" i="78"/>
  <c r="BI905" i="78"/>
  <c r="BH905" i="78"/>
  <c r="BG905" i="78"/>
  <c r="BE905" i="78"/>
  <c r="T905" i="78"/>
  <c r="R905" i="78"/>
  <c r="P905" i="78"/>
  <c r="J905" i="78"/>
  <c r="BF905" i="78" s="1"/>
  <c r="BK903" i="78"/>
  <c r="BI903" i="78"/>
  <c r="BH903" i="78"/>
  <c r="BG903" i="78"/>
  <c r="BE903" i="78"/>
  <c r="T903" i="78"/>
  <c r="R903" i="78"/>
  <c r="P903" i="78"/>
  <c r="J903" i="78"/>
  <c r="BF903" i="78" s="1"/>
  <c r="BK901" i="78"/>
  <c r="BI901" i="78"/>
  <c r="BH901" i="78"/>
  <c r="BG901" i="78"/>
  <c r="BE901" i="78"/>
  <c r="T901" i="78"/>
  <c r="R901" i="78"/>
  <c r="P901" i="78"/>
  <c r="J901" i="78"/>
  <c r="BF901" i="78" s="1"/>
  <c r="BK900" i="78"/>
  <c r="BI900" i="78"/>
  <c r="BH900" i="78"/>
  <c r="BG900" i="78"/>
  <c r="BE900" i="78"/>
  <c r="T900" i="78"/>
  <c r="R900" i="78"/>
  <c r="P900" i="78"/>
  <c r="J900" i="78"/>
  <c r="BF900" i="78" s="1"/>
  <c r="BK898" i="78"/>
  <c r="BI898" i="78"/>
  <c r="BH898" i="78"/>
  <c r="BG898" i="78"/>
  <c r="BE898" i="78"/>
  <c r="T898" i="78"/>
  <c r="R898" i="78"/>
  <c r="P898" i="78"/>
  <c r="J898" i="78"/>
  <c r="BF898" i="78" s="1"/>
  <c r="BK895" i="78"/>
  <c r="BI895" i="78"/>
  <c r="BH895" i="78"/>
  <c r="BG895" i="78"/>
  <c r="BE895" i="78"/>
  <c r="T895" i="78"/>
  <c r="R895" i="78"/>
  <c r="P895" i="78"/>
  <c r="J895" i="78"/>
  <c r="BF895" i="78" s="1"/>
  <c r="BK894" i="78"/>
  <c r="BI894" i="78"/>
  <c r="BH894" i="78"/>
  <c r="BG894" i="78"/>
  <c r="BE894" i="78"/>
  <c r="T894" i="78"/>
  <c r="R894" i="78"/>
  <c r="P894" i="78"/>
  <c r="J894" i="78"/>
  <c r="BF894"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1" i="78"/>
  <c r="BI881" i="78"/>
  <c r="BH881" i="78"/>
  <c r="BG881" i="78"/>
  <c r="BE881" i="78"/>
  <c r="T881" i="78"/>
  <c r="R881" i="78"/>
  <c r="P881" i="78"/>
  <c r="J881" i="78"/>
  <c r="BF881" i="78" s="1"/>
  <c r="BK873" i="78"/>
  <c r="BI873" i="78"/>
  <c r="BH873" i="78"/>
  <c r="BG873" i="78"/>
  <c r="BE873" i="78"/>
  <c r="T873" i="78"/>
  <c r="R873" i="78"/>
  <c r="P873" i="78"/>
  <c r="J873" i="78"/>
  <c r="BF873" i="78" s="1"/>
  <c r="BI872" i="78"/>
  <c r="BH872" i="78"/>
  <c r="BG872" i="78"/>
  <c r="BE872" i="78"/>
  <c r="T872" i="78"/>
  <c r="R872" i="78"/>
  <c r="P872" i="78"/>
  <c r="BF872" i="78"/>
  <c r="BI868" i="78"/>
  <c r="BH868" i="78"/>
  <c r="BG868" i="78"/>
  <c r="BE868" i="78"/>
  <c r="T868" i="78"/>
  <c r="R868" i="78"/>
  <c r="P868" i="78"/>
  <c r="BF868"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3" i="78"/>
  <c r="BH863" i="78"/>
  <c r="BG863" i="78"/>
  <c r="BE863" i="78"/>
  <c r="T863" i="78"/>
  <c r="R863" i="78"/>
  <c r="P863" i="78"/>
  <c r="BF863" i="78"/>
  <c r="BI862" i="78"/>
  <c r="BH862" i="78"/>
  <c r="BG862" i="78"/>
  <c r="BE862" i="78"/>
  <c r="T862" i="78"/>
  <c r="R862" i="78"/>
  <c r="P862" i="78"/>
  <c r="BF862" i="78"/>
  <c r="BI861" i="78"/>
  <c r="BH861" i="78"/>
  <c r="BG861" i="78"/>
  <c r="BE861" i="78"/>
  <c r="T861" i="78"/>
  <c r="R861" i="78"/>
  <c r="P861" i="78"/>
  <c r="BF861" i="78"/>
  <c r="BI860" i="78"/>
  <c r="BH860" i="78"/>
  <c r="BG860" i="78"/>
  <c r="BE860" i="78"/>
  <c r="T860" i="78"/>
  <c r="R860" i="78"/>
  <c r="P860" i="78"/>
  <c r="BF860" i="78"/>
  <c r="BI856" i="78"/>
  <c r="BH856" i="78"/>
  <c r="BG856" i="78"/>
  <c r="BE856" i="78"/>
  <c r="T856" i="78"/>
  <c r="R856" i="78"/>
  <c r="P856" i="78"/>
  <c r="BF856" i="78"/>
  <c r="BI843" i="78"/>
  <c r="BH843" i="78"/>
  <c r="BG843" i="78"/>
  <c r="BE843" i="78"/>
  <c r="T843" i="78"/>
  <c r="R843" i="78"/>
  <c r="P843" i="78"/>
  <c r="BF843" i="78"/>
  <c r="BI842" i="78"/>
  <c r="BH842" i="78"/>
  <c r="BG842" i="78"/>
  <c r="BE842" i="78"/>
  <c r="T842" i="78"/>
  <c r="R842" i="78"/>
  <c r="P842" i="78"/>
  <c r="BF842" i="78"/>
  <c r="BI841" i="78"/>
  <c r="BH841" i="78"/>
  <c r="BG841" i="78"/>
  <c r="BE841" i="78"/>
  <c r="T841" i="78"/>
  <c r="R841" i="78"/>
  <c r="P841" i="78"/>
  <c r="BF841" i="78"/>
  <c r="BI839" i="78"/>
  <c r="BH839" i="78"/>
  <c r="BG839" i="78"/>
  <c r="BE839" i="78"/>
  <c r="T839" i="78"/>
  <c r="R839" i="78"/>
  <c r="P839" i="78"/>
  <c r="BF839" i="78"/>
  <c r="BI838" i="78"/>
  <c r="BH838" i="78"/>
  <c r="BG838" i="78"/>
  <c r="BE838" i="78"/>
  <c r="T838" i="78"/>
  <c r="R838" i="78"/>
  <c r="P838" i="78"/>
  <c r="BF838" i="78"/>
  <c r="BI836" i="78"/>
  <c r="BH836" i="78"/>
  <c r="BG836" i="78"/>
  <c r="BE836" i="78"/>
  <c r="T836" i="78"/>
  <c r="R836" i="78"/>
  <c r="P836" i="78"/>
  <c r="BF836" i="78"/>
  <c r="BI832" i="78"/>
  <c r="BH832" i="78"/>
  <c r="BG832" i="78"/>
  <c r="BE832" i="78"/>
  <c r="T832" i="78"/>
  <c r="R832" i="78"/>
  <c r="P832" i="78"/>
  <c r="BF832" i="78"/>
  <c r="BI831" i="78"/>
  <c r="BH831" i="78"/>
  <c r="BG831" i="78"/>
  <c r="BE831" i="78"/>
  <c r="T831" i="78"/>
  <c r="R831" i="78"/>
  <c r="P831" i="78"/>
  <c r="BF831" i="78"/>
  <c r="BI828" i="78"/>
  <c r="BH828" i="78"/>
  <c r="BG828" i="78"/>
  <c r="BE828" i="78"/>
  <c r="T828" i="78"/>
  <c r="R828" i="78"/>
  <c r="P828" i="78"/>
  <c r="BF828" i="78"/>
  <c r="BI827" i="78"/>
  <c r="BH827" i="78"/>
  <c r="BG827" i="78"/>
  <c r="BE827" i="78"/>
  <c r="T827" i="78"/>
  <c r="R827" i="78"/>
  <c r="P827" i="78"/>
  <c r="BF827" i="78"/>
  <c r="BI821" i="78"/>
  <c r="BH821" i="78"/>
  <c r="BG821" i="78"/>
  <c r="BE821" i="78"/>
  <c r="T821" i="78"/>
  <c r="R821" i="78"/>
  <c r="P821" i="78"/>
  <c r="BF821" i="78"/>
  <c r="BI820" i="78"/>
  <c r="BH820" i="78"/>
  <c r="BG820" i="78"/>
  <c r="BE820" i="78"/>
  <c r="T820" i="78"/>
  <c r="R820" i="78"/>
  <c r="P820" i="78"/>
  <c r="BF820" i="78"/>
  <c r="BI813" i="78"/>
  <c r="BH813" i="78"/>
  <c r="BG813" i="78"/>
  <c r="BE813" i="78"/>
  <c r="T813" i="78"/>
  <c r="R813" i="78"/>
  <c r="P813" i="78"/>
  <c r="BF813" i="78"/>
  <c r="BI812" i="78"/>
  <c r="BH812" i="78"/>
  <c r="BG812" i="78"/>
  <c r="BE812" i="78"/>
  <c r="T812" i="78"/>
  <c r="R812" i="78"/>
  <c r="P812" i="78"/>
  <c r="BF812" i="78"/>
  <c r="BI809" i="78"/>
  <c r="BH809" i="78"/>
  <c r="BG809" i="78"/>
  <c r="BE809" i="78"/>
  <c r="T809" i="78"/>
  <c r="R809" i="78"/>
  <c r="P809" i="78"/>
  <c r="BF809" i="78"/>
  <c r="BI808" i="78"/>
  <c r="BH808" i="78"/>
  <c r="BG808" i="78"/>
  <c r="BE808" i="78"/>
  <c r="T808" i="78"/>
  <c r="R808" i="78"/>
  <c r="P808" i="78"/>
  <c r="BF808" i="78"/>
  <c r="BI802" i="78"/>
  <c r="BH802" i="78"/>
  <c r="BG802" i="78"/>
  <c r="BE802" i="78"/>
  <c r="T802" i="78"/>
  <c r="R802" i="78"/>
  <c r="P802" i="78"/>
  <c r="BF802" i="78"/>
  <c r="BI796" i="78"/>
  <c r="BH796" i="78"/>
  <c r="BG796" i="78"/>
  <c r="BE796" i="78"/>
  <c r="T796" i="78"/>
  <c r="R796" i="78"/>
  <c r="P796" i="78"/>
  <c r="BF796" i="78"/>
  <c r="BI793" i="78"/>
  <c r="BH793" i="78"/>
  <c r="BG793" i="78"/>
  <c r="BE793" i="78"/>
  <c r="T793" i="78"/>
  <c r="R793" i="78"/>
  <c r="P793" i="78"/>
  <c r="BF793" i="78"/>
  <c r="BI787" i="78"/>
  <c r="BH787" i="78"/>
  <c r="BG787" i="78"/>
  <c r="BE787" i="78"/>
  <c r="T787" i="78"/>
  <c r="R787" i="78"/>
  <c r="P787" i="78"/>
  <c r="BF787" i="78"/>
  <c r="BI781" i="78"/>
  <c r="BH781" i="78"/>
  <c r="BG781" i="78"/>
  <c r="BE781" i="78"/>
  <c r="T781" i="78"/>
  <c r="R781" i="78"/>
  <c r="P781" i="78"/>
  <c r="BF781" i="78"/>
  <c r="BI780" i="78"/>
  <c r="BH780" i="78"/>
  <c r="BG780" i="78"/>
  <c r="BE780" i="78"/>
  <c r="T780" i="78"/>
  <c r="R780" i="78"/>
  <c r="P780" i="78"/>
  <c r="BF780" i="78"/>
  <c r="BI774" i="78"/>
  <c r="BH774" i="78"/>
  <c r="BG774" i="78"/>
  <c r="BE774" i="78"/>
  <c r="T774" i="78"/>
  <c r="R774" i="78"/>
  <c r="P774" i="78"/>
  <c r="BF774" i="78"/>
  <c r="BI769" i="78"/>
  <c r="BH769" i="78"/>
  <c r="BG769" i="78"/>
  <c r="BE769" i="78"/>
  <c r="T769" i="78"/>
  <c r="R769" i="78"/>
  <c r="P769" i="78"/>
  <c r="BF769" i="78"/>
  <c r="BK767" i="78"/>
  <c r="BI767" i="78"/>
  <c r="BH767" i="78"/>
  <c r="BG767" i="78"/>
  <c r="BE767" i="78"/>
  <c r="T767" i="78"/>
  <c r="R767" i="78"/>
  <c r="P767" i="78"/>
  <c r="J767" i="78"/>
  <c r="BF767" i="78" s="1"/>
  <c r="BK759" i="78"/>
  <c r="BI759" i="78"/>
  <c r="BH759" i="78"/>
  <c r="BG759" i="78"/>
  <c r="BE759" i="78"/>
  <c r="T759" i="78"/>
  <c r="R759" i="78"/>
  <c r="P759" i="78"/>
  <c r="J759" i="78"/>
  <c r="BF759" i="78" s="1"/>
  <c r="BK751" i="78"/>
  <c r="BI751" i="78"/>
  <c r="BH751" i="78"/>
  <c r="BG751" i="78"/>
  <c r="BE751" i="78"/>
  <c r="T751" i="78"/>
  <c r="R751" i="78"/>
  <c r="P751" i="78"/>
  <c r="J751" i="78"/>
  <c r="BF751" i="78" s="1"/>
  <c r="BK749" i="78"/>
  <c r="BI749" i="78"/>
  <c r="BH749" i="78"/>
  <c r="BG749" i="78"/>
  <c r="BE749" i="78"/>
  <c r="T749" i="78"/>
  <c r="R749" i="78"/>
  <c r="P749" i="78"/>
  <c r="J749" i="78"/>
  <c r="BF749" i="78" s="1"/>
  <c r="BK745" i="78"/>
  <c r="BI745" i="78"/>
  <c r="BH745" i="78"/>
  <c r="BG745" i="78"/>
  <c r="BE745" i="78"/>
  <c r="T745" i="78"/>
  <c r="R745" i="78"/>
  <c r="P745" i="78"/>
  <c r="J745" i="78"/>
  <c r="BF745" i="78" s="1"/>
  <c r="BK741" i="78"/>
  <c r="BI741" i="78"/>
  <c r="BH741" i="78"/>
  <c r="BG741" i="78"/>
  <c r="BE741" i="78"/>
  <c r="T741" i="78"/>
  <c r="R741" i="78"/>
  <c r="P741" i="78"/>
  <c r="J741" i="78"/>
  <c r="BF741" i="78" s="1"/>
  <c r="BK739" i="78"/>
  <c r="BI739" i="78"/>
  <c r="BH739" i="78"/>
  <c r="BG739" i="78"/>
  <c r="BE739" i="78"/>
  <c r="T739" i="78"/>
  <c r="R739" i="78"/>
  <c r="P739" i="78"/>
  <c r="J739" i="78"/>
  <c r="BF739" i="78" s="1"/>
  <c r="BK738" i="78"/>
  <c r="BI738" i="78"/>
  <c r="BH738" i="78"/>
  <c r="BG738" i="78"/>
  <c r="BE738" i="78"/>
  <c r="T738" i="78"/>
  <c r="R738" i="78"/>
  <c r="P738" i="78"/>
  <c r="J738" i="78"/>
  <c r="BF738" i="78" s="1"/>
  <c r="BK728" i="78"/>
  <c r="BI728" i="78"/>
  <c r="BH728" i="78"/>
  <c r="BG728" i="78"/>
  <c r="BE728" i="78"/>
  <c r="T728" i="78"/>
  <c r="R728" i="78"/>
  <c r="P728" i="78"/>
  <c r="J728" i="78"/>
  <c r="BF728" i="78" s="1"/>
  <c r="BK718" i="78"/>
  <c r="BI718" i="78"/>
  <c r="BH718" i="78"/>
  <c r="BG718" i="78"/>
  <c r="BE718" i="78"/>
  <c r="T718" i="78"/>
  <c r="R718" i="78"/>
  <c r="P718" i="78"/>
  <c r="J718" i="78"/>
  <c r="BF718" i="78" s="1"/>
  <c r="BK708" i="78"/>
  <c r="BI708" i="78"/>
  <c r="BH708" i="78"/>
  <c r="BG708" i="78"/>
  <c r="BE708" i="78"/>
  <c r="T708" i="78"/>
  <c r="R708" i="78"/>
  <c r="P708" i="78"/>
  <c r="J708" i="78"/>
  <c r="BF708" i="78" s="1"/>
  <c r="BK707" i="78"/>
  <c r="BI707" i="78"/>
  <c r="BH707" i="78"/>
  <c r="BG707" i="78"/>
  <c r="BE707" i="78"/>
  <c r="T707" i="78"/>
  <c r="R707" i="78"/>
  <c r="P707" i="78"/>
  <c r="J707" i="78"/>
  <c r="BF707" i="78" s="1"/>
  <c r="BK705" i="78"/>
  <c r="BI705" i="78"/>
  <c r="BH705" i="78"/>
  <c r="BG705" i="78"/>
  <c r="BE705" i="78"/>
  <c r="T705" i="78"/>
  <c r="R705" i="78"/>
  <c r="P705" i="78"/>
  <c r="J705" i="78"/>
  <c r="BF705" i="78" s="1"/>
  <c r="BK702" i="78"/>
  <c r="BI702" i="78"/>
  <c r="BH702" i="78"/>
  <c r="BG702" i="78"/>
  <c r="BE702" i="78"/>
  <c r="T702" i="78"/>
  <c r="R702" i="78"/>
  <c r="P702" i="78"/>
  <c r="J702" i="78"/>
  <c r="BF702" i="78" s="1"/>
  <c r="BK699" i="78"/>
  <c r="BI699" i="78"/>
  <c r="BH699" i="78"/>
  <c r="BG699" i="78"/>
  <c r="BE699" i="78"/>
  <c r="T699" i="78"/>
  <c r="R699" i="78"/>
  <c r="P699" i="78"/>
  <c r="J699" i="78"/>
  <c r="BF699" i="78" s="1"/>
  <c r="BK697" i="78"/>
  <c r="BI697" i="78"/>
  <c r="BH697" i="78"/>
  <c r="BG697" i="78"/>
  <c r="BE697" i="78"/>
  <c r="T697" i="78"/>
  <c r="R697" i="78"/>
  <c r="P697" i="78"/>
  <c r="J697" i="78"/>
  <c r="BF697" i="78" s="1"/>
  <c r="BK696" i="78"/>
  <c r="BI696" i="78"/>
  <c r="BH696" i="78"/>
  <c r="BG696" i="78"/>
  <c r="BE696" i="78"/>
  <c r="T696" i="78"/>
  <c r="R696" i="78"/>
  <c r="P696" i="78"/>
  <c r="J696" i="78"/>
  <c r="BF696" i="78" s="1"/>
  <c r="BK690" i="78"/>
  <c r="BI690" i="78"/>
  <c r="BH690" i="78"/>
  <c r="BG690" i="78"/>
  <c r="BE690" i="78"/>
  <c r="T690" i="78"/>
  <c r="R690" i="78"/>
  <c r="P690" i="78"/>
  <c r="J690" i="78"/>
  <c r="BF690" i="78" s="1"/>
  <c r="BK686" i="78"/>
  <c r="BI686" i="78"/>
  <c r="BH686" i="78"/>
  <c r="BG686" i="78"/>
  <c r="BE686" i="78"/>
  <c r="T686" i="78"/>
  <c r="R686" i="78"/>
  <c r="P686" i="78"/>
  <c r="J686" i="78"/>
  <c r="BF686" i="78" s="1"/>
  <c r="BK683" i="78"/>
  <c r="BI683" i="78"/>
  <c r="BH683" i="78"/>
  <c r="BG683" i="78"/>
  <c r="BE683" i="78"/>
  <c r="T683" i="78"/>
  <c r="R683" i="78"/>
  <c r="P683" i="78"/>
  <c r="J683" i="78"/>
  <c r="BF683" i="78" s="1"/>
  <c r="BK678" i="78"/>
  <c r="BI678" i="78"/>
  <c r="BH678" i="78"/>
  <c r="BG678" i="78"/>
  <c r="BE678" i="78"/>
  <c r="T678" i="78"/>
  <c r="R678" i="78"/>
  <c r="P678" i="78"/>
  <c r="J678" i="78"/>
  <c r="BF678" i="78" s="1"/>
  <c r="BK668" i="78"/>
  <c r="BI668" i="78"/>
  <c r="BH668" i="78"/>
  <c r="BG668" i="78"/>
  <c r="BE668" i="78"/>
  <c r="T668" i="78"/>
  <c r="R668" i="78"/>
  <c r="P668" i="78"/>
  <c r="J668" i="78"/>
  <c r="BF668" i="78" s="1"/>
  <c r="BK664" i="78"/>
  <c r="BI664" i="78"/>
  <c r="BH664" i="78"/>
  <c r="BG664" i="78"/>
  <c r="BE664" i="78"/>
  <c r="T664" i="78"/>
  <c r="R664" i="78"/>
  <c r="P664" i="78"/>
  <c r="J664" i="78"/>
  <c r="BF664" i="78" s="1"/>
  <c r="BK658" i="78"/>
  <c r="BI658" i="78"/>
  <c r="BH658" i="78"/>
  <c r="BG658" i="78"/>
  <c r="BE658" i="78"/>
  <c r="T658" i="78"/>
  <c r="R658" i="78"/>
  <c r="P658" i="78"/>
  <c r="J658" i="78"/>
  <c r="BF658" i="78" s="1"/>
  <c r="BK650" i="78"/>
  <c r="BI650" i="78"/>
  <c r="BH650" i="78"/>
  <c r="BG650" i="78"/>
  <c r="BE650" i="78"/>
  <c r="T650" i="78"/>
  <c r="R650" i="78"/>
  <c r="P650" i="78"/>
  <c r="J650" i="78"/>
  <c r="BF650" i="78" s="1"/>
  <c r="BK642" i="78"/>
  <c r="BI642" i="78"/>
  <c r="BH642" i="78"/>
  <c r="BG642" i="78"/>
  <c r="BE642" i="78"/>
  <c r="T642" i="78"/>
  <c r="R642" i="78"/>
  <c r="P642" i="78"/>
  <c r="J642" i="78"/>
  <c r="BF642" i="78" s="1"/>
  <c r="BK634" i="78"/>
  <c r="BI634" i="78"/>
  <c r="BH634" i="78"/>
  <c r="BG634" i="78"/>
  <c r="BE634" i="78"/>
  <c r="T634" i="78"/>
  <c r="R634" i="78"/>
  <c r="P634" i="78"/>
  <c r="J634" i="78"/>
  <c r="BF634" i="78" s="1"/>
  <c r="BK626" i="78"/>
  <c r="BI626" i="78"/>
  <c r="BH626" i="78"/>
  <c r="BG626" i="78"/>
  <c r="BE626" i="78"/>
  <c r="T626" i="78"/>
  <c r="R626" i="78"/>
  <c r="P626" i="78"/>
  <c r="J626" i="78"/>
  <c r="BF626" i="78" s="1"/>
  <c r="BK622" i="78"/>
  <c r="BI622" i="78"/>
  <c r="BH622" i="78"/>
  <c r="BG622" i="78"/>
  <c r="BE622" i="78"/>
  <c r="T622" i="78"/>
  <c r="R622" i="78"/>
  <c r="P622" i="78"/>
  <c r="J622" i="78"/>
  <c r="BF622" i="78" s="1"/>
  <c r="BK613" i="78"/>
  <c r="BI613" i="78"/>
  <c r="BH613" i="78"/>
  <c r="BG613" i="78"/>
  <c r="BE613" i="78"/>
  <c r="T613" i="78"/>
  <c r="R613" i="78"/>
  <c r="P613" i="78"/>
  <c r="J613" i="78"/>
  <c r="BF613" i="78" s="1"/>
  <c r="BK609" i="78"/>
  <c r="BI609" i="78"/>
  <c r="BH609" i="78"/>
  <c r="BG609" i="78"/>
  <c r="BE609" i="78"/>
  <c r="T609" i="78"/>
  <c r="R609" i="78"/>
  <c r="P609" i="78"/>
  <c r="J609" i="78"/>
  <c r="BF609" i="78" s="1"/>
  <c r="BK608" i="78"/>
  <c r="BI608" i="78"/>
  <c r="BH608" i="78"/>
  <c r="BG608" i="78"/>
  <c r="BE608" i="78"/>
  <c r="T608" i="78"/>
  <c r="R608" i="78"/>
  <c r="P608" i="78"/>
  <c r="J608" i="78"/>
  <c r="BF608" i="78" s="1"/>
  <c r="BK606" i="78"/>
  <c r="BI606" i="78"/>
  <c r="BH606" i="78"/>
  <c r="BG606" i="78"/>
  <c r="BE606" i="78"/>
  <c r="T606" i="78"/>
  <c r="R606" i="78"/>
  <c r="P606" i="78"/>
  <c r="J606" i="78"/>
  <c r="BF606" i="78" s="1"/>
  <c r="BK599" i="78"/>
  <c r="BI599" i="78"/>
  <c r="BH599" i="78"/>
  <c r="BG599" i="78"/>
  <c r="BE599" i="78"/>
  <c r="T599" i="78"/>
  <c r="R599" i="78"/>
  <c r="P599" i="78"/>
  <c r="J599" i="78"/>
  <c r="BF599" i="78" s="1"/>
  <c r="BK590" i="78"/>
  <c r="BI590" i="78"/>
  <c r="BH590" i="78"/>
  <c r="BG590" i="78"/>
  <c r="BE590" i="78"/>
  <c r="T590" i="78"/>
  <c r="R590" i="78"/>
  <c r="P590" i="78"/>
  <c r="J590" i="78"/>
  <c r="BF590" i="78" s="1"/>
  <c r="BK586" i="78"/>
  <c r="BI586" i="78"/>
  <c r="BH586" i="78"/>
  <c r="BG586" i="78"/>
  <c r="BE586" i="78"/>
  <c r="T586" i="78"/>
  <c r="R586" i="78"/>
  <c r="P586" i="78"/>
  <c r="J586" i="78"/>
  <c r="BF586" i="78" s="1"/>
  <c r="BK580" i="78"/>
  <c r="BI580" i="78"/>
  <c r="BH580" i="78"/>
  <c r="BG580" i="78"/>
  <c r="BE580" i="78"/>
  <c r="T580" i="78"/>
  <c r="R580" i="78"/>
  <c r="P580" i="78"/>
  <c r="J580" i="78"/>
  <c r="BF580" i="78" s="1"/>
  <c r="BK578" i="78"/>
  <c r="BI578" i="78"/>
  <c r="BH578" i="78"/>
  <c r="BG578" i="78"/>
  <c r="BE578" i="78"/>
  <c r="T578" i="78"/>
  <c r="R578" i="78"/>
  <c r="P578" i="78"/>
  <c r="J578" i="78"/>
  <c r="BF578" i="78" s="1"/>
  <c r="BK577" i="78"/>
  <c r="BI577" i="78"/>
  <c r="BH577" i="78"/>
  <c r="BG577" i="78"/>
  <c r="BE577" i="78"/>
  <c r="T577" i="78"/>
  <c r="R577" i="78"/>
  <c r="P577" i="78"/>
  <c r="J577" i="78"/>
  <c r="BF577" i="78" s="1"/>
  <c r="BK576" i="78"/>
  <c r="BI576" i="78"/>
  <c r="BH576" i="78"/>
  <c r="BG576" i="78"/>
  <c r="BE576" i="78"/>
  <c r="T576" i="78"/>
  <c r="R576" i="78"/>
  <c r="P576" i="78"/>
  <c r="J576" i="78"/>
  <c r="BF576" i="78" s="1"/>
  <c r="BK574" i="78"/>
  <c r="BI574" i="78"/>
  <c r="BH574" i="78"/>
  <c r="BG574" i="78"/>
  <c r="BE574" i="78"/>
  <c r="T574" i="78"/>
  <c r="R574" i="78"/>
  <c r="P574" i="78"/>
  <c r="J574" i="78"/>
  <c r="BF574" i="78" s="1"/>
  <c r="BK570" i="78"/>
  <c r="BI570" i="78"/>
  <c r="BH570" i="78"/>
  <c r="BG570" i="78"/>
  <c r="BE570" i="78"/>
  <c r="T570" i="78"/>
  <c r="R570" i="78"/>
  <c r="P570" i="78"/>
  <c r="J570" i="78"/>
  <c r="BF570" i="78" s="1"/>
  <c r="BK563" i="78"/>
  <c r="BI563" i="78"/>
  <c r="BH563" i="78"/>
  <c r="BG563" i="78"/>
  <c r="BE563" i="78"/>
  <c r="T563" i="78"/>
  <c r="R563" i="78"/>
  <c r="P563" i="78"/>
  <c r="J563" i="78"/>
  <c r="BF563" i="78" s="1"/>
  <c r="BK557" i="78"/>
  <c r="BI557" i="78"/>
  <c r="BH557" i="78"/>
  <c r="BG557" i="78"/>
  <c r="BE557" i="78"/>
  <c r="T557" i="78"/>
  <c r="R557" i="78"/>
  <c r="P557" i="78"/>
  <c r="J557" i="78"/>
  <c r="BF557" i="78" s="1"/>
  <c r="BK555" i="78"/>
  <c r="BI555" i="78"/>
  <c r="BH555" i="78"/>
  <c r="BG555" i="78"/>
  <c r="BE555" i="78"/>
  <c r="T555" i="78"/>
  <c r="R555" i="78"/>
  <c r="P555" i="78"/>
  <c r="J555" i="78"/>
  <c r="BF555" i="78" s="1"/>
  <c r="BK554" i="78"/>
  <c r="BI554" i="78"/>
  <c r="BH554" i="78"/>
  <c r="BG554" i="78"/>
  <c r="BE554" i="78"/>
  <c r="T554" i="78"/>
  <c r="R554" i="78"/>
  <c r="P554" i="78"/>
  <c r="J554" i="78"/>
  <c r="BF554" i="78" s="1"/>
  <c r="BK546" i="78"/>
  <c r="BI546" i="78"/>
  <c r="BH546" i="78"/>
  <c r="BG546" i="78"/>
  <c r="BE546" i="78"/>
  <c r="T546" i="78"/>
  <c r="R546" i="78"/>
  <c r="P546" i="78"/>
  <c r="J546" i="78"/>
  <c r="BF546" i="78" s="1"/>
  <c r="BK537" i="78"/>
  <c r="BI537" i="78"/>
  <c r="BH537" i="78"/>
  <c r="BG537" i="78"/>
  <c r="BE537" i="78"/>
  <c r="T537" i="78"/>
  <c r="R537" i="78"/>
  <c r="P537" i="78"/>
  <c r="J537" i="78"/>
  <c r="BF537" i="78" s="1"/>
  <c r="BK531" i="78"/>
  <c r="BI531" i="78"/>
  <c r="BH531" i="78"/>
  <c r="BG531" i="78"/>
  <c r="BE531" i="78"/>
  <c r="T531" i="78"/>
  <c r="R531" i="78"/>
  <c r="P531" i="78"/>
  <c r="J531" i="78"/>
  <c r="BF531" i="78" s="1"/>
  <c r="BK528" i="78"/>
  <c r="BI528" i="78"/>
  <c r="BH528" i="78"/>
  <c r="BG528" i="78"/>
  <c r="BE528" i="78"/>
  <c r="T528" i="78"/>
  <c r="R528" i="78"/>
  <c r="P528" i="78"/>
  <c r="J528" i="78"/>
  <c r="BF528" i="78" s="1"/>
  <c r="BK524" i="78"/>
  <c r="BI524" i="78"/>
  <c r="BH524" i="78"/>
  <c r="BG524" i="78"/>
  <c r="BE524" i="78"/>
  <c r="T524" i="78"/>
  <c r="R524" i="78"/>
  <c r="P524" i="78"/>
  <c r="J524" i="78"/>
  <c r="BF524" i="78" s="1"/>
  <c r="BK516" i="78"/>
  <c r="BI516" i="78"/>
  <c r="BH516" i="78"/>
  <c r="BG516" i="78"/>
  <c r="BE516" i="78"/>
  <c r="T516" i="78"/>
  <c r="R516" i="78"/>
  <c r="P516" i="78"/>
  <c r="J516" i="78"/>
  <c r="BF516" i="78" s="1"/>
  <c r="BK512" i="78"/>
  <c r="BI512" i="78"/>
  <c r="BH512" i="78"/>
  <c r="BG512" i="78"/>
  <c r="BE512" i="78"/>
  <c r="T512" i="78"/>
  <c r="R512" i="78"/>
  <c r="P512" i="78"/>
  <c r="J512" i="78"/>
  <c r="BF512" i="78" s="1"/>
  <c r="BK510" i="78"/>
  <c r="BI510" i="78"/>
  <c r="BH510" i="78"/>
  <c r="BG510" i="78"/>
  <c r="BE510" i="78"/>
  <c r="T510" i="78"/>
  <c r="R510" i="78"/>
  <c r="P510" i="78"/>
  <c r="J510" i="78"/>
  <c r="BF510" i="78" s="1"/>
  <c r="BK509" i="78"/>
  <c r="BI509" i="78"/>
  <c r="BH509" i="78"/>
  <c r="BG509" i="78"/>
  <c r="BE509" i="78"/>
  <c r="T509" i="78"/>
  <c r="R509" i="78"/>
  <c r="P509" i="78"/>
  <c r="J509" i="78"/>
  <c r="BF509" i="78" s="1"/>
  <c r="BK502" i="78"/>
  <c r="BI502" i="78"/>
  <c r="BH502" i="78"/>
  <c r="BG502" i="78"/>
  <c r="BE502" i="78"/>
  <c r="T502" i="78"/>
  <c r="R502" i="78"/>
  <c r="P502" i="78"/>
  <c r="J502" i="78"/>
  <c r="BF502" i="78" s="1"/>
  <c r="BI496" i="78"/>
  <c r="BH496" i="78"/>
  <c r="BG496" i="78"/>
  <c r="BE496" i="78"/>
  <c r="T496" i="78"/>
  <c r="R496" i="78"/>
  <c r="P496" i="78"/>
  <c r="BF496" i="78"/>
  <c r="BI495" i="78"/>
  <c r="BH495" i="78"/>
  <c r="BG495" i="78"/>
  <c r="BE495" i="78"/>
  <c r="T495" i="78"/>
  <c r="R495" i="78"/>
  <c r="P495" i="78"/>
  <c r="BF495" i="78"/>
  <c r="BI490" i="78"/>
  <c r="BH490" i="78"/>
  <c r="BG490" i="78"/>
  <c r="BE490" i="78"/>
  <c r="T490" i="78"/>
  <c r="R490" i="78"/>
  <c r="P490" i="78"/>
  <c r="BF490" i="78"/>
  <c r="BK488" i="78"/>
  <c r="BI488" i="78"/>
  <c r="BH488" i="78"/>
  <c r="BG488" i="78"/>
  <c r="BE488" i="78"/>
  <c r="T488" i="78"/>
  <c r="R488" i="78"/>
  <c r="P488" i="78"/>
  <c r="J488" i="78"/>
  <c r="BF488" i="78" s="1"/>
  <c r="BK487" i="78"/>
  <c r="BI487" i="78"/>
  <c r="BH487" i="78"/>
  <c r="BG487" i="78"/>
  <c r="BE487" i="78"/>
  <c r="T487" i="78"/>
  <c r="R487" i="78"/>
  <c r="P487" i="78"/>
  <c r="BF487"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4" i="77"/>
  <c r="BI344" i="77"/>
  <c r="BH344" i="77"/>
  <c r="BG344" i="77"/>
  <c r="BE344" i="77"/>
  <c r="T344" i="77"/>
  <c r="R344" i="77"/>
  <c r="P344" i="77"/>
  <c r="J344" i="77"/>
  <c r="BF344" i="77" s="1"/>
  <c r="BK343" i="77"/>
  <c r="BI343" i="77"/>
  <c r="BH343" i="77"/>
  <c r="BG343" i="77"/>
  <c r="BE343" i="77"/>
  <c r="T343" i="77"/>
  <c r="R343" i="77"/>
  <c r="P343" i="77"/>
  <c r="J343" i="77"/>
  <c r="BF343" i="77" s="1"/>
  <c r="BK342" i="77"/>
  <c r="BI342" i="77"/>
  <c r="BH342" i="77"/>
  <c r="BG342" i="77"/>
  <c r="BE342" i="77"/>
  <c r="T342" i="77"/>
  <c r="R342" i="77"/>
  <c r="P342" i="77"/>
  <c r="J342" i="77"/>
  <c r="BF342" i="77" s="1"/>
  <c r="BK341" i="77"/>
  <c r="BI341" i="77"/>
  <c r="BH341" i="77"/>
  <c r="BG341" i="77"/>
  <c r="BE341" i="77"/>
  <c r="T341" i="77"/>
  <c r="R341" i="77"/>
  <c r="P341" i="77"/>
  <c r="J341" i="77"/>
  <c r="BF341" i="77" s="1"/>
  <c r="BK339" i="77"/>
  <c r="BI339" i="77"/>
  <c r="BH339" i="77"/>
  <c r="BG339" i="77"/>
  <c r="BE339" i="77"/>
  <c r="T339" i="77"/>
  <c r="R339" i="77"/>
  <c r="R338" i="77" s="1"/>
  <c r="P339" i="77"/>
  <c r="J339" i="77"/>
  <c r="BF339" i="77" s="1"/>
  <c r="BK337" i="77"/>
  <c r="BI337" i="77"/>
  <c r="BH337" i="77"/>
  <c r="BG337" i="77"/>
  <c r="BE337" i="77"/>
  <c r="T337" i="77"/>
  <c r="R337" i="77"/>
  <c r="P337" i="77"/>
  <c r="J337" i="77"/>
  <c r="BF337" i="77" s="1"/>
  <c r="BK336" i="77"/>
  <c r="BI336" i="77"/>
  <c r="BH336" i="77"/>
  <c r="BG336" i="77"/>
  <c r="BE336" i="77"/>
  <c r="T336" i="77"/>
  <c r="R336" i="77"/>
  <c r="P336" i="77"/>
  <c r="J336" i="77"/>
  <c r="BF336" i="77" s="1"/>
  <c r="BK332" i="77"/>
  <c r="BI332" i="77"/>
  <c r="BH332" i="77"/>
  <c r="BG332" i="77"/>
  <c r="BE332" i="77"/>
  <c r="T332" i="77"/>
  <c r="R332" i="77"/>
  <c r="P332" i="77"/>
  <c r="J332" i="77"/>
  <c r="BF332" i="77" s="1"/>
  <c r="BK331" i="77"/>
  <c r="BI331" i="77"/>
  <c r="BH331" i="77"/>
  <c r="BG331" i="77"/>
  <c r="BE331" i="77"/>
  <c r="T331" i="77"/>
  <c r="R331" i="77"/>
  <c r="P331" i="77"/>
  <c r="J331" i="77"/>
  <c r="BF331" i="77" s="1"/>
  <c r="BK330" i="77"/>
  <c r="BI330" i="77"/>
  <c r="BH330" i="77"/>
  <c r="BG330" i="77"/>
  <c r="BE330" i="77"/>
  <c r="T330" i="77"/>
  <c r="R330" i="77"/>
  <c r="P330" i="77"/>
  <c r="J330" i="77"/>
  <c r="BF330" i="77" s="1"/>
  <c r="BK329" i="77"/>
  <c r="BI329" i="77"/>
  <c r="BH329" i="77"/>
  <c r="BG329" i="77"/>
  <c r="BF329" i="77"/>
  <c r="BE329" i="77"/>
  <c r="T329" i="77"/>
  <c r="R329" i="77"/>
  <c r="P329" i="77"/>
  <c r="J329" i="77"/>
  <c r="BK326" i="77"/>
  <c r="BI326" i="77"/>
  <c r="BH326" i="77"/>
  <c r="BG326" i="77"/>
  <c r="BE326" i="77"/>
  <c r="T326" i="77"/>
  <c r="R326" i="77"/>
  <c r="P326" i="77"/>
  <c r="J326" i="77"/>
  <c r="BF326" i="77" s="1"/>
  <c r="BK325" i="77"/>
  <c r="BI325" i="77"/>
  <c r="BH325" i="77"/>
  <c r="BG325" i="77"/>
  <c r="BE325" i="77"/>
  <c r="T325" i="77"/>
  <c r="R325" i="77"/>
  <c r="P325" i="77"/>
  <c r="P324" i="77" s="1"/>
  <c r="J325" i="77"/>
  <c r="BF325"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F321" i="77"/>
  <c r="BE321" i="77"/>
  <c r="T321" i="77"/>
  <c r="R321" i="77"/>
  <c r="P321" i="77"/>
  <c r="J321" i="77"/>
  <c r="BK319" i="77"/>
  <c r="BI319" i="77"/>
  <c r="BH319" i="77"/>
  <c r="BG319" i="77"/>
  <c r="BE319" i="77"/>
  <c r="T319" i="77"/>
  <c r="R319" i="77"/>
  <c r="P319" i="77"/>
  <c r="J319" i="77"/>
  <c r="BF319" i="77" s="1"/>
  <c r="BK317" i="77"/>
  <c r="BI317" i="77"/>
  <c r="BH317" i="77"/>
  <c r="BG317" i="77"/>
  <c r="BE317" i="77"/>
  <c r="T317" i="77"/>
  <c r="R317" i="77"/>
  <c r="P317" i="77"/>
  <c r="J317" i="77"/>
  <c r="BF317" i="77" s="1"/>
  <c r="BK316" i="77"/>
  <c r="BI316" i="77"/>
  <c r="BH316" i="77"/>
  <c r="BG316" i="77"/>
  <c r="BE316" i="77"/>
  <c r="T316" i="77"/>
  <c r="R316" i="77"/>
  <c r="P316" i="77"/>
  <c r="J316" i="77"/>
  <c r="BF316" i="77" s="1"/>
  <c r="BK314" i="77"/>
  <c r="BI314" i="77"/>
  <c r="BH314" i="77"/>
  <c r="BG314" i="77"/>
  <c r="BE314" i="77"/>
  <c r="T314" i="77"/>
  <c r="R314" i="77"/>
  <c r="P314" i="77"/>
  <c r="J314" i="77"/>
  <c r="BF314" i="77" s="1"/>
  <c r="BK295" i="77"/>
  <c r="BI295" i="77"/>
  <c r="BH295" i="77"/>
  <c r="BG295" i="77"/>
  <c r="BE295" i="77"/>
  <c r="T295" i="77"/>
  <c r="R295" i="77"/>
  <c r="P295" i="77"/>
  <c r="J295" i="77"/>
  <c r="BF295" i="77" s="1"/>
  <c r="BK293" i="77"/>
  <c r="BI293" i="77"/>
  <c r="BH293" i="77"/>
  <c r="BG293" i="77"/>
  <c r="BE293" i="77"/>
  <c r="T293" i="77"/>
  <c r="R293" i="77"/>
  <c r="P293" i="77"/>
  <c r="J293" i="77"/>
  <c r="BF293"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K286" i="77"/>
  <c r="BI286" i="77"/>
  <c r="BH286" i="77"/>
  <c r="BG286" i="77"/>
  <c r="BE286" i="77"/>
  <c r="T286" i="77"/>
  <c r="R286" i="77"/>
  <c r="P286" i="77"/>
  <c r="J286" i="77"/>
  <c r="BF286" i="77" s="1"/>
  <c r="BK284" i="77"/>
  <c r="BI284" i="77"/>
  <c r="BH284" i="77"/>
  <c r="BG284" i="77"/>
  <c r="BE284" i="77"/>
  <c r="T284" i="77"/>
  <c r="R284" i="77"/>
  <c r="P284" i="77"/>
  <c r="J284" i="77"/>
  <c r="BF284" i="77" s="1"/>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F269" i="77"/>
  <c r="BE269" i="77"/>
  <c r="T269" i="77"/>
  <c r="R269" i="77"/>
  <c r="P269" i="77"/>
  <c r="J269" i="77"/>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I224" i="77"/>
  <c r="BH224" i="77"/>
  <c r="BG224" i="77"/>
  <c r="BE224" i="77"/>
  <c r="T224" i="77"/>
  <c r="R224" i="77"/>
  <c r="P224" i="77"/>
  <c r="J224" i="77"/>
  <c r="BF224" i="77" s="1"/>
  <c r="BK223" i="77"/>
  <c r="J223" i="77" s="1"/>
  <c r="J103"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K167" i="77" s="1"/>
  <c r="J167" i="77" s="1"/>
  <c r="J101" i="77" s="1"/>
  <c r="BI168" i="77"/>
  <c r="BH168" i="77"/>
  <c r="BG168" i="77"/>
  <c r="BE168" i="77"/>
  <c r="T168" i="77"/>
  <c r="R168" i="77"/>
  <c r="P168" i="77"/>
  <c r="J168" i="77"/>
  <c r="BF168" i="77" s="1"/>
  <c r="BK165" i="77"/>
  <c r="BI165" i="77"/>
  <c r="BH165" i="77"/>
  <c r="BG165" i="77"/>
  <c r="BF165" i="77"/>
  <c r="BE165" i="77"/>
  <c r="T165" i="77"/>
  <c r="T164" i="77" s="1"/>
  <c r="R165" i="77"/>
  <c r="P165" i="77"/>
  <c r="P164" i="77" s="1"/>
  <c r="J165" i="77"/>
  <c r="BK164" i="77"/>
  <c r="J164" i="77" s="1"/>
  <c r="J99"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201" i="76"/>
  <c r="BI1201" i="76"/>
  <c r="BH1201" i="76"/>
  <c r="BG1201" i="76"/>
  <c r="BE1201" i="76"/>
  <c r="T1201" i="76"/>
  <c r="R1201" i="76"/>
  <c r="P1201" i="76"/>
  <c r="J1201" i="76"/>
  <c r="BF1201" i="76" s="1"/>
  <c r="BK1200" i="76"/>
  <c r="BI1200" i="76"/>
  <c r="BH1200" i="76"/>
  <c r="BG1200" i="76"/>
  <c r="BE1200" i="76"/>
  <c r="T1200" i="76"/>
  <c r="R1200" i="76"/>
  <c r="P1200" i="76"/>
  <c r="J1200" i="76"/>
  <c r="BF1200" i="76" s="1"/>
  <c r="BK1193" i="76"/>
  <c r="BI1193" i="76"/>
  <c r="BH1193" i="76"/>
  <c r="BG1193" i="76"/>
  <c r="BE1193" i="76"/>
  <c r="T1193" i="76"/>
  <c r="R1193" i="76"/>
  <c r="P1193" i="76"/>
  <c r="J1193" i="76"/>
  <c r="BF1193" i="76" s="1"/>
  <c r="BI1192" i="76"/>
  <c r="BH1192" i="76"/>
  <c r="BG1192" i="76"/>
  <c r="BE1192" i="76"/>
  <c r="T1192" i="76"/>
  <c r="R1192" i="76"/>
  <c r="P1192" i="76"/>
  <c r="BF1192" i="76"/>
  <c r="BK1186" i="76"/>
  <c r="BI1186" i="76"/>
  <c r="BH1186" i="76"/>
  <c r="BG1186" i="76"/>
  <c r="BE1186" i="76"/>
  <c r="T1186" i="76"/>
  <c r="R1186" i="76"/>
  <c r="P1186" i="76"/>
  <c r="J1186" i="76"/>
  <c r="BF1186" i="76" s="1"/>
  <c r="BK1184" i="76"/>
  <c r="BI1184" i="76"/>
  <c r="BH1184" i="76"/>
  <c r="BG1184" i="76"/>
  <c r="BE1184" i="76"/>
  <c r="T1184" i="76"/>
  <c r="R1184" i="76"/>
  <c r="P1184" i="76"/>
  <c r="J1184" i="76"/>
  <c r="BF1184" i="76" s="1"/>
  <c r="BK1182" i="76"/>
  <c r="BI1182" i="76"/>
  <c r="BH1182" i="76"/>
  <c r="BG1182" i="76"/>
  <c r="BE1182" i="76"/>
  <c r="T1182" i="76"/>
  <c r="R1182" i="76"/>
  <c r="P1182" i="76"/>
  <c r="J1182" i="76"/>
  <c r="BF1182" i="76" s="1"/>
  <c r="BK1181" i="76"/>
  <c r="BI1181" i="76"/>
  <c r="BH1181" i="76"/>
  <c r="BG1181" i="76"/>
  <c r="BE1181" i="76"/>
  <c r="T1181" i="76"/>
  <c r="R1181" i="76"/>
  <c r="P1181" i="76"/>
  <c r="J1181" i="76"/>
  <c r="BF1181" i="76" s="1"/>
  <c r="BK1180" i="76"/>
  <c r="BI1180" i="76"/>
  <c r="BH1180" i="76"/>
  <c r="BG1180" i="76"/>
  <c r="BE1180" i="76"/>
  <c r="T1180" i="76"/>
  <c r="R1180" i="76"/>
  <c r="P1180" i="76"/>
  <c r="J1180" i="76"/>
  <c r="BF1180" i="76" s="1"/>
  <c r="BK1179" i="76"/>
  <c r="BI1179" i="76"/>
  <c r="BH1179" i="76"/>
  <c r="BG1179" i="76"/>
  <c r="BE1179" i="76"/>
  <c r="T1179" i="76"/>
  <c r="R1179" i="76"/>
  <c r="P1179" i="76"/>
  <c r="J1179" i="76"/>
  <c r="BF1179" i="76" s="1"/>
  <c r="BI1173" i="76"/>
  <c r="BH1173" i="76"/>
  <c r="BG1173" i="76"/>
  <c r="BE1173" i="76"/>
  <c r="T1173" i="76"/>
  <c r="R1173" i="76"/>
  <c r="P1173" i="76"/>
  <c r="BF1173" i="76"/>
  <c r="BK1171" i="76"/>
  <c r="BI1171" i="76"/>
  <c r="BH1171" i="76"/>
  <c r="BG1171" i="76"/>
  <c r="BE1171" i="76"/>
  <c r="T1171" i="76"/>
  <c r="R1171" i="76"/>
  <c r="P1171" i="76"/>
  <c r="J1171" i="76"/>
  <c r="BF1171" i="76" s="1"/>
  <c r="BK1167" i="76"/>
  <c r="BI1167" i="76"/>
  <c r="BH1167" i="76"/>
  <c r="BG1167" i="76"/>
  <c r="BE1167" i="76"/>
  <c r="T1167" i="76"/>
  <c r="R1167" i="76"/>
  <c r="P1167" i="76"/>
  <c r="J1167" i="76"/>
  <c r="BF1167" i="76" s="1"/>
  <c r="BK1159" i="76"/>
  <c r="BI1159" i="76"/>
  <c r="BH1159" i="76"/>
  <c r="BG1159" i="76"/>
  <c r="BE1159" i="76"/>
  <c r="T1159" i="76"/>
  <c r="R1159" i="76"/>
  <c r="P1159" i="76"/>
  <c r="J1159" i="76"/>
  <c r="BF1159" i="76" s="1"/>
  <c r="BK1157" i="76"/>
  <c r="BI1157" i="76"/>
  <c r="BH1157" i="76"/>
  <c r="BG1157" i="76"/>
  <c r="BE1157" i="76"/>
  <c r="T1157" i="76"/>
  <c r="R1157" i="76"/>
  <c r="P1157" i="76"/>
  <c r="J1157" i="76"/>
  <c r="BF1157" i="76" s="1"/>
  <c r="BK1141" i="76"/>
  <c r="BI1141" i="76"/>
  <c r="BH1141" i="76"/>
  <c r="BG1141" i="76"/>
  <c r="BE1141" i="76"/>
  <c r="T1141" i="76"/>
  <c r="R1141" i="76"/>
  <c r="P1141" i="76"/>
  <c r="J1141" i="76"/>
  <c r="BF1141" i="76" s="1"/>
  <c r="BK1140" i="76"/>
  <c r="BI1140" i="76"/>
  <c r="BH1140" i="76"/>
  <c r="BG1140" i="76"/>
  <c r="BE1140" i="76"/>
  <c r="T1140" i="76"/>
  <c r="R1140" i="76"/>
  <c r="P1140" i="76"/>
  <c r="J1140" i="76"/>
  <c r="BF1140" i="76" s="1"/>
  <c r="BK1129" i="76"/>
  <c r="BI1129" i="76"/>
  <c r="BH1129" i="76"/>
  <c r="BG1129" i="76"/>
  <c r="BE1129" i="76"/>
  <c r="T1129" i="76"/>
  <c r="R1129" i="76"/>
  <c r="P1129" i="76"/>
  <c r="J1129" i="76"/>
  <c r="BF1129" i="76" s="1"/>
  <c r="BK1127" i="76"/>
  <c r="BI1127" i="76"/>
  <c r="BH1127" i="76"/>
  <c r="BG1127" i="76"/>
  <c r="BE1127" i="76"/>
  <c r="T1127" i="76"/>
  <c r="R1127" i="76"/>
  <c r="P1127" i="76"/>
  <c r="J1127" i="76"/>
  <c r="BF1127" i="76" s="1"/>
  <c r="BK1126" i="76"/>
  <c r="BI1126" i="76"/>
  <c r="BH1126" i="76"/>
  <c r="BG1126" i="76"/>
  <c r="BE1126" i="76"/>
  <c r="T1126" i="76"/>
  <c r="R1126" i="76"/>
  <c r="P1126" i="76"/>
  <c r="J1126" i="76"/>
  <c r="BF1126" i="76" s="1"/>
  <c r="BK1125" i="76"/>
  <c r="BI1125" i="76"/>
  <c r="BH1125" i="76"/>
  <c r="BG1125" i="76"/>
  <c r="BE1125" i="76"/>
  <c r="T1125" i="76"/>
  <c r="R1125" i="76"/>
  <c r="P1125" i="76"/>
  <c r="J1125" i="76"/>
  <c r="BF1125" i="76" s="1"/>
  <c r="BK1123" i="76"/>
  <c r="BI1123" i="76"/>
  <c r="BH1123" i="76"/>
  <c r="BG1123" i="76"/>
  <c r="BE1123" i="76"/>
  <c r="T1123" i="76"/>
  <c r="R1123" i="76"/>
  <c r="P1123" i="76"/>
  <c r="J1123" i="76"/>
  <c r="BF1123" i="76" s="1"/>
  <c r="BK1122" i="76"/>
  <c r="BI1122" i="76"/>
  <c r="BH1122" i="76"/>
  <c r="BG1122" i="76"/>
  <c r="BE1122" i="76"/>
  <c r="T1122" i="76"/>
  <c r="R1122" i="76"/>
  <c r="P1122" i="76"/>
  <c r="J1122" i="76"/>
  <c r="BF1122" i="76" s="1"/>
  <c r="BK1121" i="76"/>
  <c r="BI1121" i="76"/>
  <c r="BH1121" i="76"/>
  <c r="BG1121" i="76"/>
  <c r="BE1121" i="76"/>
  <c r="T1121" i="76"/>
  <c r="R1121" i="76"/>
  <c r="P1121" i="76"/>
  <c r="J1121" i="76"/>
  <c r="BF1121" i="76" s="1"/>
  <c r="BK1120" i="76"/>
  <c r="BI1120" i="76"/>
  <c r="BH1120" i="76"/>
  <c r="BG1120" i="76"/>
  <c r="BE1120" i="76"/>
  <c r="T1120" i="76"/>
  <c r="R1120" i="76"/>
  <c r="P1120" i="76"/>
  <c r="J1120" i="76"/>
  <c r="BF1120" i="76" s="1"/>
  <c r="BI1117" i="76"/>
  <c r="BH1117" i="76"/>
  <c r="BG1117" i="76"/>
  <c r="BE1117" i="76"/>
  <c r="T1117" i="76"/>
  <c r="R1117" i="76"/>
  <c r="P1117" i="76"/>
  <c r="BF1117" i="76"/>
  <c r="BI1116" i="76"/>
  <c r="BH1116" i="76"/>
  <c r="BG1116" i="76"/>
  <c r="BE1116" i="76"/>
  <c r="T1116" i="76"/>
  <c r="R1116" i="76"/>
  <c r="P1116" i="76"/>
  <c r="BF1116" i="76"/>
  <c r="BK1107" i="76"/>
  <c r="BI1107" i="76"/>
  <c r="BH1107" i="76"/>
  <c r="BG1107" i="76"/>
  <c r="BE1107" i="76"/>
  <c r="T1107" i="76"/>
  <c r="R1107" i="76"/>
  <c r="P1107" i="76"/>
  <c r="J1107" i="76"/>
  <c r="BF1107" i="76" s="1"/>
  <c r="BK1097" i="76"/>
  <c r="BI1097" i="76"/>
  <c r="BH1097" i="76"/>
  <c r="BG1097" i="76"/>
  <c r="BE1097" i="76"/>
  <c r="T1097" i="76"/>
  <c r="R1097" i="76"/>
  <c r="P1097" i="76"/>
  <c r="J1097" i="76"/>
  <c r="BF1097" i="76" s="1"/>
  <c r="BK1096" i="76"/>
  <c r="BI1096" i="76"/>
  <c r="BH1096" i="76"/>
  <c r="BG1096" i="76"/>
  <c r="BE1096" i="76"/>
  <c r="T1096" i="76"/>
  <c r="R1096" i="76"/>
  <c r="P1096" i="76"/>
  <c r="J1096" i="76"/>
  <c r="BF1096" i="76" s="1"/>
  <c r="BI1094" i="76"/>
  <c r="BH1094" i="76"/>
  <c r="BG1094" i="76"/>
  <c r="BE1094" i="76"/>
  <c r="T1094" i="76"/>
  <c r="R1094" i="76"/>
  <c r="P1094" i="76"/>
  <c r="BF1094" i="76"/>
  <c r="BI1093" i="76"/>
  <c r="BH1093" i="76"/>
  <c r="BG1093" i="76"/>
  <c r="BE1093" i="76"/>
  <c r="T1093" i="76"/>
  <c r="R1093" i="76"/>
  <c r="P1093" i="76"/>
  <c r="BF1093" i="76"/>
  <c r="BI1091" i="76"/>
  <c r="BH1091" i="76"/>
  <c r="BG1091" i="76"/>
  <c r="BE1091" i="76"/>
  <c r="T1091" i="76"/>
  <c r="R1091" i="76"/>
  <c r="P1091" i="76"/>
  <c r="BF1091" i="76"/>
  <c r="BI1085" i="76"/>
  <c r="BH1085" i="76"/>
  <c r="BG1085" i="76"/>
  <c r="BE1085" i="76"/>
  <c r="T1085" i="76"/>
  <c r="R1085" i="76"/>
  <c r="P1085" i="76"/>
  <c r="BF1085" i="76"/>
  <c r="BK1077" i="76"/>
  <c r="BK1076" i="76" s="1"/>
  <c r="BI1077" i="76"/>
  <c r="BH1077" i="76"/>
  <c r="BG1077" i="76"/>
  <c r="BE1077" i="76"/>
  <c r="T1077" i="76"/>
  <c r="T1076" i="76" s="1"/>
  <c r="R1077" i="76"/>
  <c r="R1076" i="76" s="1"/>
  <c r="P1077" i="76"/>
  <c r="P1076" i="76" s="1"/>
  <c r="J1077" i="76"/>
  <c r="BF1077" i="76" s="1"/>
  <c r="BK1075" i="76"/>
  <c r="BI1075" i="76"/>
  <c r="BH1075" i="76"/>
  <c r="BG1075" i="76"/>
  <c r="BE1075" i="76"/>
  <c r="T1075" i="76"/>
  <c r="R1075" i="76"/>
  <c r="P1075" i="76"/>
  <c r="J1075" i="76"/>
  <c r="BF1075" i="76" s="1"/>
  <c r="BK1074" i="76"/>
  <c r="BI1074" i="76"/>
  <c r="BH1074" i="76"/>
  <c r="BG1074" i="76"/>
  <c r="BE1074" i="76"/>
  <c r="T1074" i="76"/>
  <c r="R1074" i="76"/>
  <c r="P1074" i="76"/>
  <c r="J1074" i="76"/>
  <c r="BF1074" i="76" s="1"/>
  <c r="BK1072" i="76"/>
  <c r="BI1072" i="76"/>
  <c r="BH1072" i="76"/>
  <c r="BG1072" i="76"/>
  <c r="BE1072" i="76"/>
  <c r="T1072" i="76"/>
  <c r="R1072" i="76"/>
  <c r="P1072" i="76"/>
  <c r="J1072" i="76"/>
  <c r="BF1072" i="76" s="1"/>
  <c r="BK1070" i="76"/>
  <c r="BI1070" i="76"/>
  <c r="BH1070" i="76"/>
  <c r="BG1070" i="76"/>
  <c r="BE1070" i="76"/>
  <c r="T1070" i="76"/>
  <c r="R1070" i="76"/>
  <c r="P1070" i="76"/>
  <c r="J1070" i="76"/>
  <c r="BF1070" i="76" s="1"/>
  <c r="BK1063" i="76"/>
  <c r="BI1063" i="76"/>
  <c r="BH1063" i="76"/>
  <c r="BG1063" i="76"/>
  <c r="BE1063" i="76"/>
  <c r="T1063" i="76"/>
  <c r="R1063" i="76"/>
  <c r="P1063" i="76"/>
  <c r="J1063" i="76"/>
  <c r="BF1063" i="76" s="1"/>
  <c r="BK1060" i="76"/>
  <c r="BI1060" i="76"/>
  <c r="BH1060" i="76"/>
  <c r="BG1060" i="76"/>
  <c r="BE1060" i="76"/>
  <c r="T1060" i="76"/>
  <c r="R1060" i="76"/>
  <c r="P1060" i="76"/>
  <c r="J1060" i="76"/>
  <c r="BF1060" i="76" s="1"/>
  <c r="BI1058" i="76"/>
  <c r="BH1058" i="76"/>
  <c r="BG1058" i="76"/>
  <c r="BE1058" i="76"/>
  <c r="T1058" i="76"/>
  <c r="R1058" i="76"/>
  <c r="P1058" i="76"/>
  <c r="BF1058" i="76"/>
  <c r="BI1056" i="76"/>
  <c r="BH1056" i="76"/>
  <c r="BG1056" i="76"/>
  <c r="BE1056" i="76"/>
  <c r="T1056" i="76"/>
  <c r="R1056" i="76"/>
  <c r="P1056" i="76"/>
  <c r="BF1056" i="76"/>
  <c r="BI1054" i="76"/>
  <c r="BH1054" i="76"/>
  <c r="BG1054" i="76"/>
  <c r="BE1054" i="76"/>
  <c r="T1054" i="76"/>
  <c r="R1054" i="76"/>
  <c r="P1054" i="76"/>
  <c r="BF1054" i="76"/>
  <c r="BI1048" i="76"/>
  <c r="BH1048" i="76"/>
  <c r="BG1048" i="76"/>
  <c r="BE1048" i="76"/>
  <c r="T1048" i="76"/>
  <c r="R1048" i="76"/>
  <c r="P1048" i="76"/>
  <c r="BF1048" i="76"/>
  <c r="BI1040" i="76"/>
  <c r="BH1040" i="76"/>
  <c r="BG1040" i="76"/>
  <c r="BE1040" i="76"/>
  <c r="T1040" i="76"/>
  <c r="R1040" i="76"/>
  <c r="P1040" i="76"/>
  <c r="BF1040" i="76"/>
  <c r="BK1030" i="76"/>
  <c r="BI1030" i="76"/>
  <c r="BH1030" i="76"/>
  <c r="BG1030" i="76"/>
  <c r="BE1030" i="76"/>
  <c r="T1030" i="76"/>
  <c r="R1030" i="76"/>
  <c r="P1030" i="76"/>
  <c r="J1030" i="76"/>
  <c r="BF1030" i="76" s="1"/>
  <c r="BK1027" i="76"/>
  <c r="BI1027" i="76"/>
  <c r="BH1027" i="76"/>
  <c r="BG1027" i="76"/>
  <c r="BE1027" i="76"/>
  <c r="T1027" i="76"/>
  <c r="R1027" i="76"/>
  <c r="P1027" i="76"/>
  <c r="J1027" i="76"/>
  <c r="BF1027" i="76" s="1"/>
  <c r="BI1025" i="76"/>
  <c r="BH1025" i="76"/>
  <c r="BG1025" i="76"/>
  <c r="BE1025" i="76"/>
  <c r="T1025" i="76"/>
  <c r="R1025" i="76"/>
  <c r="P1025" i="76"/>
  <c r="BF1025" i="76"/>
  <c r="BI1021" i="76"/>
  <c r="BH1021" i="76"/>
  <c r="BG1021" i="76"/>
  <c r="BE1021" i="76"/>
  <c r="T1021" i="76"/>
  <c r="R1021" i="76"/>
  <c r="P1021" i="76"/>
  <c r="BF1021" i="76"/>
  <c r="BK1015" i="76"/>
  <c r="BI1015" i="76"/>
  <c r="BH1015" i="76"/>
  <c r="BG1015" i="76"/>
  <c r="BE1015" i="76"/>
  <c r="T1015" i="76"/>
  <c r="R1015" i="76"/>
  <c r="P1015" i="76"/>
  <c r="J1015" i="76"/>
  <c r="BF1015" i="76" s="1"/>
  <c r="BK1006" i="76"/>
  <c r="BI1006" i="76"/>
  <c r="BH1006" i="76"/>
  <c r="BG1006" i="76"/>
  <c r="BE1006" i="76"/>
  <c r="T1006" i="76"/>
  <c r="R1006" i="76"/>
  <c r="P1006" i="76"/>
  <c r="J1006" i="76"/>
  <c r="BF1006" i="76" s="1"/>
  <c r="BI990" i="76"/>
  <c r="BH990" i="76"/>
  <c r="BG990" i="76"/>
  <c r="BE990" i="76"/>
  <c r="T990" i="76"/>
  <c r="R990" i="76"/>
  <c r="P990" i="76"/>
  <c r="BF990" i="76"/>
  <c r="BI986" i="76"/>
  <c r="BH986" i="76"/>
  <c r="BG986" i="76"/>
  <c r="BE986" i="76"/>
  <c r="T986" i="76"/>
  <c r="R986" i="76"/>
  <c r="P986" i="76"/>
  <c r="BF986" i="76"/>
  <c r="BK984" i="76"/>
  <c r="BI984" i="76"/>
  <c r="BH984" i="76"/>
  <c r="BG984" i="76"/>
  <c r="BE984" i="76"/>
  <c r="T984" i="76"/>
  <c r="R984" i="76"/>
  <c r="P984" i="76"/>
  <c r="J984" i="76"/>
  <c r="BF984" i="76" s="1"/>
  <c r="BK983" i="76"/>
  <c r="BI983" i="76"/>
  <c r="BH983" i="76"/>
  <c r="BG983" i="76"/>
  <c r="BE983" i="76"/>
  <c r="T983" i="76"/>
  <c r="R983" i="76"/>
  <c r="P983" i="76"/>
  <c r="J983" i="76"/>
  <c r="BF983" i="76" s="1"/>
  <c r="BK976" i="76"/>
  <c r="BI976" i="76"/>
  <c r="BH976" i="76"/>
  <c r="BG976" i="76"/>
  <c r="BE976" i="76"/>
  <c r="T976" i="76"/>
  <c r="R976" i="76"/>
  <c r="P976" i="76"/>
  <c r="J976" i="76"/>
  <c r="BF976" i="76" s="1"/>
  <c r="BK966" i="76"/>
  <c r="BI966" i="76"/>
  <c r="BH966" i="76"/>
  <c r="BG966" i="76"/>
  <c r="BE966" i="76"/>
  <c r="T966" i="76"/>
  <c r="R966" i="76"/>
  <c r="P966" i="76"/>
  <c r="J966" i="76"/>
  <c r="BF966" i="76" s="1"/>
  <c r="BK962" i="76"/>
  <c r="BI962" i="76"/>
  <c r="BH962" i="76"/>
  <c r="BG962" i="76"/>
  <c r="BE962" i="76"/>
  <c r="T962" i="76"/>
  <c r="R962" i="76"/>
  <c r="P962" i="76"/>
  <c r="J962" i="76"/>
  <c r="BF962" i="76" s="1"/>
  <c r="BK959" i="76"/>
  <c r="BI959" i="76"/>
  <c r="BH959" i="76"/>
  <c r="BG959" i="76"/>
  <c r="BE959" i="76"/>
  <c r="T959" i="76"/>
  <c r="R959" i="76"/>
  <c r="P959" i="76"/>
  <c r="J959" i="76"/>
  <c r="BF959" i="76" s="1"/>
  <c r="BK956" i="76"/>
  <c r="BI956" i="76"/>
  <c r="BH956" i="76"/>
  <c r="BG956" i="76"/>
  <c r="BE956" i="76"/>
  <c r="T956" i="76"/>
  <c r="R956" i="76"/>
  <c r="P956" i="76"/>
  <c r="J956" i="76"/>
  <c r="BF956" i="76" s="1"/>
  <c r="BK949" i="76"/>
  <c r="BI949" i="76"/>
  <c r="BH949" i="76"/>
  <c r="BG949" i="76"/>
  <c r="BE949" i="76"/>
  <c r="T949" i="76"/>
  <c r="R949" i="76"/>
  <c r="P949" i="76"/>
  <c r="J949" i="76"/>
  <c r="BF949" i="76" s="1"/>
  <c r="BK943" i="76"/>
  <c r="BI943" i="76"/>
  <c r="BH943" i="76"/>
  <c r="BG943" i="76"/>
  <c r="BE943" i="76"/>
  <c r="T943" i="76"/>
  <c r="R943" i="76"/>
  <c r="P943" i="76"/>
  <c r="J943" i="76"/>
  <c r="BF943" i="76" s="1"/>
  <c r="BK935" i="76"/>
  <c r="BI935" i="76"/>
  <c r="BH935" i="76"/>
  <c r="BG935" i="76"/>
  <c r="BE935" i="76"/>
  <c r="T935" i="76"/>
  <c r="R935" i="76"/>
  <c r="P935" i="76"/>
  <c r="J935" i="76"/>
  <c r="BF935" i="76" s="1"/>
  <c r="BK931" i="76"/>
  <c r="BI931" i="76"/>
  <c r="BH931" i="76"/>
  <c r="BG931" i="76"/>
  <c r="BE931" i="76"/>
  <c r="T931" i="76"/>
  <c r="R931" i="76"/>
  <c r="P931" i="76"/>
  <c r="J931" i="76"/>
  <c r="BF931" i="76" s="1"/>
  <c r="BK929" i="76"/>
  <c r="BI929" i="76"/>
  <c r="BH929" i="76"/>
  <c r="BG929" i="76"/>
  <c r="BE929" i="76"/>
  <c r="T929" i="76"/>
  <c r="R929" i="76"/>
  <c r="P929" i="76"/>
  <c r="J929" i="76"/>
  <c r="BF929" i="76" s="1"/>
  <c r="BK922" i="76"/>
  <c r="BI922" i="76"/>
  <c r="BH922" i="76"/>
  <c r="BG922" i="76"/>
  <c r="BE922" i="76"/>
  <c r="T922" i="76"/>
  <c r="R922" i="76"/>
  <c r="P922" i="76"/>
  <c r="J922" i="76"/>
  <c r="BF922" i="76" s="1"/>
  <c r="BK916" i="76"/>
  <c r="BI916" i="76"/>
  <c r="BH916" i="76"/>
  <c r="BG916" i="76"/>
  <c r="BE916" i="76"/>
  <c r="T916" i="76"/>
  <c r="R916" i="76"/>
  <c r="P916" i="76"/>
  <c r="J916" i="76"/>
  <c r="BF916" i="76" s="1"/>
  <c r="BK910" i="76"/>
  <c r="BI910" i="76"/>
  <c r="BH910" i="76"/>
  <c r="BG910" i="76"/>
  <c r="BE910" i="76"/>
  <c r="T910" i="76"/>
  <c r="R910" i="76"/>
  <c r="P910" i="76"/>
  <c r="J910" i="76"/>
  <c r="BF910" i="76" s="1"/>
  <c r="BK901" i="76"/>
  <c r="BI901" i="76"/>
  <c r="BH901" i="76"/>
  <c r="BG901" i="76"/>
  <c r="BE901" i="76"/>
  <c r="T901" i="76"/>
  <c r="R901" i="76"/>
  <c r="P901" i="76"/>
  <c r="J901" i="76"/>
  <c r="BF901" i="76" s="1"/>
  <c r="BK899" i="76"/>
  <c r="BI899" i="76"/>
  <c r="BH899" i="76"/>
  <c r="BG899" i="76"/>
  <c r="BE899" i="76"/>
  <c r="T899" i="76"/>
  <c r="R899" i="76"/>
  <c r="P899" i="76"/>
  <c r="J899" i="76"/>
  <c r="BF899" i="76" s="1"/>
  <c r="BK895" i="76"/>
  <c r="BI895" i="76"/>
  <c r="BH895" i="76"/>
  <c r="BG895" i="76"/>
  <c r="BE895" i="76"/>
  <c r="T895" i="76"/>
  <c r="R895" i="76"/>
  <c r="P895" i="76"/>
  <c r="J895" i="76"/>
  <c r="BF895" i="76" s="1"/>
  <c r="BK893" i="76"/>
  <c r="BI893" i="76"/>
  <c r="BH893" i="76"/>
  <c r="BG893" i="76"/>
  <c r="BE893" i="76"/>
  <c r="T893" i="76"/>
  <c r="R893" i="76"/>
  <c r="P893" i="76"/>
  <c r="J893" i="76"/>
  <c r="BF893" i="76" s="1"/>
  <c r="BK892" i="76"/>
  <c r="BI892" i="76"/>
  <c r="BH892" i="76"/>
  <c r="BG892" i="76"/>
  <c r="BE892" i="76"/>
  <c r="T892" i="76"/>
  <c r="R892" i="76"/>
  <c r="P892" i="76"/>
  <c r="J892" i="76"/>
  <c r="BF892" i="76" s="1"/>
  <c r="BK890" i="76"/>
  <c r="BI890" i="76"/>
  <c r="BH890" i="76"/>
  <c r="BG890" i="76"/>
  <c r="BE890" i="76"/>
  <c r="T890" i="76"/>
  <c r="R890" i="76"/>
  <c r="P890" i="76"/>
  <c r="J890" i="76"/>
  <c r="BF890" i="76" s="1"/>
  <c r="BK887" i="76"/>
  <c r="BI887" i="76"/>
  <c r="BH887" i="76"/>
  <c r="BG887" i="76"/>
  <c r="BE887" i="76"/>
  <c r="T887" i="76"/>
  <c r="R887" i="76"/>
  <c r="P887" i="76"/>
  <c r="J887" i="76"/>
  <c r="BF887" i="76" s="1"/>
  <c r="BK885" i="76"/>
  <c r="BI885" i="76"/>
  <c r="BH885" i="76"/>
  <c r="BG885" i="76"/>
  <c r="BE885" i="76"/>
  <c r="T885" i="76"/>
  <c r="R885" i="76"/>
  <c r="P885" i="76"/>
  <c r="J885" i="76"/>
  <c r="BF885" i="76" s="1"/>
  <c r="BK883" i="76"/>
  <c r="BI883" i="76"/>
  <c r="BH883" i="76"/>
  <c r="BG883" i="76"/>
  <c r="BE883" i="76"/>
  <c r="T883" i="76"/>
  <c r="R883" i="76"/>
  <c r="P883" i="76"/>
  <c r="J883" i="76"/>
  <c r="BF883" i="76" s="1"/>
  <c r="BK881" i="76"/>
  <c r="BI881" i="76"/>
  <c r="BH881" i="76"/>
  <c r="BG881" i="76"/>
  <c r="BE881" i="76"/>
  <c r="T881" i="76"/>
  <c r="R881" i="76"/>
  <c r="P881" i="76"/>
  <c r="J881" i="76"/>
  <c r="BF881" i="76" s="1"/>
  <c r="BK879" i="76"/>
  <c r="BI879" i="76"/>
  <c r="BH879" i="76"/>
  <c r="BG879" i="76"/>
  <c r="BE879" i="76"/>
  <c r="T879" i="76"/>
  <c r="R879" i="76"/>
  <c r="P879" i="76"/>
  <c r="J879" i="76"/>
  <c r="BF879" i="76" s="1"/>
  <c r="BK877" i="76"/>
  <c r="BI877" i="76"/>
  <c r="BH877" i="76"/>
  <c r="BG877" i="76"/>
  <c r="BE877" i="76"/>
  <c r="T877" i="76"/>
  <c r="R877" i="76"/>
  <c r="P877" i="76"/>
  <c r="J877" i="76"/>
  <c r="BF877" i="76" s="1"/>
  <c r="BK876" i="76"/>
  <c r="BI876" i="76"/>
  <c r="BH876" i="76"/>
  <c r="BG876" i="76"/>
  <c r="BE876" i="76"/>
  <c r="T876" i="76"/>
  <c r="R876" i="76"/>
  <c r="P876" i="76"/>
  <c r="J876" i="76"/>
  <c r="BF876" i="76" s="1"/>
  <c r="BK874" i="76"/>
  <c r="BI874" i="76"/>
  <c r="BH874" i="76"/>
  <c r="BG874" i="76"/>
  <c r="BE874" i="76"/>
  <c r="T874" i="76"/>
  <c r="R874" i="76"/>
  <c r="P874" i="76"/>
  <c r="J874" i="76"/>
  <c r="BF874" i="76" s="1"/>
  <c r="BK873" i="76"/>
  <c r="BI873" i="76"/>
  <c r="BH873" i="76"/>
  <c r="BG873" i="76"/>
  <c r="BE873" i="76"/>
  <c r="T873" i="76"/>
  <c r="R873" i="76"/>
  <c r="P873" i="76"/>
  <c r="J873" i="76"/>
  <c r="BF873" i="76" s="1"/>
  <c r="BK871" i="76"/>
  <c r="BI871" i="76"/>
  <c r="BH871" i="76"/>
  <c r="BG871" i="76"/>
  <c r="BE871" i="76"/>
  <c r="T871" i="76"/>
  <c r="R871" i="76"/>
  <c r="P871" i="76"/>
  <c r="J871" i="76"/>
  <c r="BF871" i="76" s="1"/>
  <c r="BK870" i="76"/>
  <c r="BI870" i="76"/>
  <c r="BH870" i="76"/>
  <c r="BG870" i="76"/>
  <c r="BE870" i="76"/>
  <c r="T870" i="76"/>
  <c r="R870" i="76"/>
  <c r="P870" i="76"/>
  <c r="J870" i="76"/>
  <c r="BF870" i="76" s="1"/>
  <c r="BK868" i="76"/>
  <c r="BI868" i="76"/>
  <c r="BH868" i="76"/>
  <c r="BG868" i="76"/>
  <c r="BE868" i="76"/>
  <c r="T868" i="76"/>
  <c r="R868" i="76"/>
  <c r="P868" i="76"/>
  <c r="J868" i="76"/>
  <c r="BF868" i="76" s="1"/>
  <c r="BK867" i="76"/>
  <c r="BI867" i="76"/>
  <c r="BH867" i="76"/>
  <c r="BG867" i="76"/>
  <c r="BE867" i="76"/>
  <c r="T867" i="76"/>
  <c r="R867" i="76"/>
  <c r="P867" i="76"/>
  <c r="J867" i="76"/>
  <c r="BF867" i="76" s="1"/>
  <c r="BK865" i="76"/>
  <c r="BI865" i="76"/>
  <c r="BH865" i="76"/>
  <c r="BG865" i="76"/>
  <c r="BE865" i="76"/>
  <c r="T865" i="76"/>
  <c r="R865" i="76"/>
  <c r="P865" i="76"/>
  <c r="J865" i="76"/>
  <c r="BF865" i="76" s="1"/>
  <c r="BK863" i="76"/>
  <c r="BI863" i="76"/>
  <c r="BH863" i="76"/>
  <c r="BG863" i="76"/>
  <c r="BE863" i="76"/>
  <c r="T863" i="76"/>
  <c r="R863" i="76"/>
  <c r="P863" i="76"/>
  <c r="J863" i="76"/>
  <c r="BF863" i="76" s="1"/>
  <c r="BK861" i="76"/>
  <c r="BI861" i="76"/>
  <c r="BH861" i="76"/>
  <c r="BG861" i="76"/>
  <c r="BE861" i="76"/>
  <c r="T861" i="76"/>
  <c r="R861" i="76"/>
  <c r="P861" i="76"/>
  <c r="J861" i="76"/>
  <c r="BF861" i="76" s="1"/>
  <c r="BK860" i="76"/>
  <c r="BI860" i="76"/>
  <c r="BH860" i="76"/>
  <c r="BG860" i="76"/>
  <c r="BE860" i="76"/>
  <c r="T860" i="76"/>
  <c r="R860" i="76"/>
  <c r="P860" i="76"/>
  <c r="J860" i="76"/>
  <c r="BF860" i="76" s="1"/>
  <c r="BK858" i="76"/>
  <c r="BI858" i="76"/>
  <c r="BH858" i="76"/>
  <c r="BG858" i="76"/>
  <c r="BE858" i="76"/>
  <c r="T858" i="76"/>
  <c r="R858" i="76"/>
  <c r="P858" i="76"/>
  <c r="J858" i="76"/>
  <c r="BF858" i="76" s="1"/>
  <c r="BK845" i="76"/>
  <c r="BI845" i="76"/>
  <c r="BH845" i="76"/>
  <c r="BG845" i="76"/>
  <c r="BE845" i="76"/>
  <c r="T845" i="76"/>
  <c r="R845" i="76"/>
  <c r="P845" i="76"/>
  <c r="J845" i="76"/>
  <c r="BF845" i="76" s="1"/>
  <c r="BK807" i="76"/>
  <c r="BI807" i="76"/>
  <c r="BH807" i="76"/>
  <c r="BG807" i="76"/>
  <c r="BE807" i="76"/>
  <c r="T807" i="76"/>
  <c r="R807" i="76"/>
  <c r="P807" i="76"/>
  <c r="J807" i="76"/>
  <c r="BF807" i="76" s="1"/>
  <c r="BK805" i="76"/>
  <c r="BI805" i="76"/>
  <c r="BH805" i="76"/>
  <c r="BG805" i="76"/>
  <c r="BE805" i="76"/>
  <c r="T805" i="76"/>
  <c r="R805" i="76"/>
  <c r="P805" i="76"/>
  <c r="J805" i="76"/>
  <c r="BF805" i="76" s="1"/>
  <c r="BK792" i="76"/>
  <c r="BI792" i="76"/>
  <c r="BH792" i="76"/>
  <c r="BG792" i="76"/>
  <c r="BE792" i="76"/>
  <c r="T792" i="76"/>
  <c r="R792" i="76"/>
  <c r="P792" i="76"/>
  <c r="J792" i="76"/>
  <c r="BF792" i="76" s="1"/>
  <c r="BK790" i="76"/>
  <c r="BI790" i="76"/>
  <c r="BH790" i="76"/>
  <c r="BG790" i="76"/>
  <c r="BE790" i="76"/>
  <c r="T790" i="76"/>
  <c r="R790" i="76"/>
  <c r="P790" i="76"/>
  <c r="J790" i="76"/>
  <c r="BF790" i="76" s="1"/>
  <c r="BK778" i="76"/>
  <c r="BI778" i="76"/>
  <c r="BH778" i="76"/>
  <c r="BG778" i="76"/>
  <c r="BE778" i="76"/>
  <c r="T778" i="76"/>
  <c r="R778" i="76"/>
  <c r="P778" i="76"/>
  <c r="J778" i="76"/>
  <c r="BF778" i="76" s="1"/>
  <c r="BK776" i="76"/>
  <c r="BI776" i="76"/>
  <c r="BH776" i="76"/>
  <c r="BG776" i="76"/>
  <c r="BE776" i="76"/>
  <c r="T776" i="76"/>
  <c r="R776" i="76"/>
  <c r="P776" i="76"/>
  <c r="J776" i="76"/>
  <c r="BF776" i="76" s="1"/>
  <c r="BK775" i="76"/>
  <c r="BI775" i="76"/>
  <c r="BH775" i="76"/>
  <c r="BG775" i="76"/>
  <c r="BE775" i="76"/>
  <c r="T775" i="76"/>
  <c r="R775" i="76"/>
  <c r="P775" i="76"/>
  <c r="J775" i="76"/>
  <c r="BF775" i="76" s="1"/>
  <c r="BK774" i="76"/>
  <c r="BI774" i="76"/>
  <c r="BH774" i="76"/>
  <c r="BG774" i="76"/>
  <c r="BE774" i="76"/>
  <c r="T774" i="76"/>
  <c r="R774" i="76"/>
  <c r="P774" i="76"/>
  <c r="J774" i="76"/>
  <c r="BF774" i="76" s="1"/>
  <c r="BK772" i="76"/>
  <c r="BI772" i="76"/>
  <c r="BH772" i="76"/>
  <c r="BG772" i="76"/>
  <c r="BE772" i="76"/>
  <c r="T772" i="76"/>
  <c r="R772" i="76"/>
  <c r="P772" i="76"/>
  <c r="J772" i="76"/>
  <c r="BF772" i="76" s="1"/>
  <c r="BK771" i="76"/>
  <c r="BI771" i="76"/>
  <c r="BH771" i="76"/>
  <c r="BG771" i="76"/>
  <c r="BE771" i="76"/>
  <c r="T771" i="76"/>
  <c r="R771" i="76"/>
  <c r="P771" i="76"/>
  <c r="J771" i="76"/>
  <c r="BF771" i="76" s="1"/>
  <c r="BK770" i="76"/>
  <c r="BI770" i="76"/>
  <c r="BH770" i="76"/>
  <c r="BG770" i="76"/>
  <c r="BE770" i="76"/>
  <c r="T770" i="76"/>
  <c r="R770" i="76"/>
  <c r="P770" i="76"/>
  <c r="J770" i="76"/>
  <c r="BF770" i="76" s="1"/>
  <c r="BK767" i="76"/>
  <c r="BI767" i="76"/>
  <c r="BH767" i="76"/>
  <c r="BG767" i="76"/>
  <c r="BE767" i="76"/>
  <c r="T767" i="76"/>
  <c r="R767" i="76"/>
  <c r="P767" i="76"/>
  <c r="J767" i="76"/>
  <c r="BF767" i="76" s="1"/>
  <c r="BK766" i="76"/>
  <c r="BI766" i="76"/>
  <c r="BH766" i="76"/>
  <c r="BG766" i="76"/>
  <c r="BE766" i="76"/>
  <c r="T766" i="76"/>
  <c r="R766" i="76"/>
  <c r="P766" i="76"/>
  <c r="J766" i="76"/>
  <c r="BF766" i="76" s="1"/>
  <c r="BK764" i="76"/>
  <c r="BI764" i="76"/>
  <c r="BH764" i="76"/>
  <c r="BG764" i="76"/>
  <c r="BE764" i="76"/>
  <c r="T764" i="76"/>
  <c r="R764" i="76"/>
  <c r="P764" i="76"/>
  <c r="J764" i="76"/>
  <c r="BF764" i="76" s="1"/>
  <c r="BK763" i="76"/>
  <c r="BI763" i="76"/>
  <c r="BH763" i="76"/>
  <c r="BG763" i="76"/>
  <c r="BE763" i="76"/>
  <c r="T763" i="76"/>
  <c r="R763" i="76"/>
  <c r="P763" i="76"/>
  <c r="J763" i="76"/>
  <c r="BF763" i="76" s="1"/>
  <c r="BK761" i="76"/>
  <c r="BI761" i="76"/>
  <c r="BH761" i="76"/>
  <c r="BG761" i="76"/>
  <c r="BE761" i="76"/>
  <c r="T761" i="76"/>
  <c r="R761" i="76"/>
  <c r="P761" i="76"/>
  <c r="J761" i="76"/>
  <c r="BF761"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2" i="76"/>
  <c r="BI752" i="76"/>
  <c r="BH752" i="76"/>
  <c r="BG752" i="76"/>
  <c r="BE752" i="76"/>
  <c r="T752" i="76"/>
  <c r="R752" i="76"/>
  <c r="P752" i="76"/>
  <c r="J752" i="76"/>
  <c r="BF752" i="76" s="1"/>
  <c r="BK750" i="76"/>
  <c r="BI750" i="76"/>
  <c r="BH750" i="76"/>
  <c r="BG750" i="76"/>
  <c r="BE750" i="76"/>
  <c r="T750" i="76"/>
  <c r="R750" i="76"/>
  <c r="P750" i="76"/>
  <c r="J750" i="76"/>
  <c r="BF750" i="76" s="1"/>
  <c r="BK745" i="76"/>
  <c r="BI745" i="76"/>
  <c r="BH745" i="76"/>
  <c r="BG745" i="76"/>
  <c r="BE745" i="76"/>
  <c r="T745" i="76"/>
  <c r="R745" i="76"/>
  <c r="P745" i="76"/>
  <c r="J745" i="76"/>
  <c r="BF745" i="76" s="1"/>
  <c r="BK741" i="76"/>
  <c r="BI741" i="76"/>
  <c r="BH741" i="76"/>
  <c r="BG741" i="76"/>
  <c r="BE741" i="76"/>
  <c r="T741" i="76"/>
  <c r="R741" i="76"/>
  <c r="P741" i="76"/>
  <c r="J741" i="76"/>
  <c r="BF741" i="76" s="1"/>
  <c r="BK739" i="76"/>
  <c r="BI739" i="76"/>
  <c r="BH739" i="76"/>
  <c r="BG739" i="76"/>
  <c r="BE739" i="76"/>
  <c r="T739" i="76"/>
  <c r="R739" i="76"/>
  <c r="P739" i="76"/>
  <c r="J739" i="76"/>
  <c r="BF739" i="76" s="1"/>
  <c r="BK737" i="76"/>
  <c r="BI737" i="76"/>
  <c r="BH737" i="76"/>
  <c r="BG737" i="76"/>
  <c r="BE737" i="76"/>
  <c r="T737" i="76"/>
  <c r="R737" i="76"/>
  <c r="P737" i="76"/>
  <c r="J737" i="76"/>
  <c r="BF737" i="76" s="1"/>
  <c r="BK734" i="76"/>
  <c r="BI734" i="76"/>
  <c r="BH734" i="76"/>
  <c r="BG734" i="76"/>
  <c r="BE734" i="76"/>
  <c r="T734" i="76"/>
  <c r="R734" i="76"/>
  <c r="P734" i="76"/>
  <c r="J734" i="76"/>
  <c r="BF734" i="76" s="1"/>
  <c r="BK732" i="76"/>
  <c r="BI732" i="76"/>
  <c r="BH732" i="76"/>
  <c r="BG732" i="76"/>
  <c r="BE732" i="76"/>
  <c r="T732" i="76"/>
  <c r="R732" i="76"/>
  <c r="P732" i="76"/>
  <c r="J732" i="76"/>
  <c r="BF732" i="76" s="1"/>
  <c r="BK730" i="76"/>
  <c r="BI730" i="76"/>
  <c r="BH730" i="76"/>
  <c r="BG730" i="76"/>
  <c r="BE730" i="76"/>
  <c r="T730" i="76"/>
  <c r="R730" i="76"/>
  <c r="P730" i="76"/>
  <c r="J730" i="76"/>
  <c r="BF730" i="76" s="1"/>
  <c r="BK729" i="76"/>
  <c r="BI729" i="76"/>
  <c r="BH729" i="76"/>
  <c r="BG729" i="76"/>
  <c r="BE729" i="76"/>
  <c r="T729" i="76"/>
  <c r="R729" i="76"/>
  <c r="P729" i="76"/>
  <c r="J729" i="76"/>
  <c r="BF729" i="76" s="1"/>
  <c r="BK727" i="76"/>
  <c r="BI727" i="76"/>
  <c r="BH727" i="76"/>
  <c r="BG727" i="76"/>
  <c r="BE727" i="76"/>
  <c r="T727" i="76"/>
  <c r="R727" i="76"/>
  <c r="P727" i="76"/>
  <c r="J727" i="76"/>
  <c r="BF727" i="76" s="1"/>
  <c r="BK726" i="76"/>
  <c r="BI726" i="76"/>
  <c r="BH726" i="76"/>
  <c r="BG726" i="76"/>
  <c r="BE726" i="76"/>
  <c r="T726" i="76"/>
  <c r="R726" i="76"/>
  <c r="P726" i="76"/>
  <c r="J726" i="76"/>
  <c r="BF726" i="76" s="1"/>
  <c r="BK721" i="76"/>
  <c r="BI721" i="76"/>
  <c r="BH721" i="76"/>
  <c r="BG721" i="76"/>
  <c r="BE721" i="76"/>
  <c r="T721" i="76"/>
  <c r="R721" i="76"/>
  <c r="P721" i="76"/>
  <c r="J721" i="76"/>
  <c r="BF721" i="76" s="1"/>
  <c r="BK718" i="76"/>
  <c r="BI718" i="76"/>
  <c r="BH718" i="76"/>
  <c r="BG718" i="76"/>
  <c r="BE718" i="76"/>
  <c r="T718" i="76"/>
  <c r="R718" i="76"/>
  <c r="P718" i="76"/>
  <c r="J718" i="76"/>
  <c r="BF718" i="76" s="1"/>
  <c r="BK717" i="76"/>
  <c r="BI717" i="76"/>
  <c r="BH717" i="76"/>
  <c r="BG717" i="76"/>
  <c r="BE717" i="76"/>
  <c r="T717" i="76"/>
  <c r="R717" i="76"/>
  <c r="P717" i="76"/>
  <c r="J717" i="76"/>
  <c r="BF717" i="76" s="1"/>
  <c r="BK715" i="76"/>
  <c r="BI715" i="76"/>
  <c r="BH715" i="76"/>
  <c r="BG715" i="76"/>
  <c r="BE715" i="76"/>
  <c r="T715" i="76"/>
  <c r="R715" i="76"/>
  <c r="P715" i="76"/>
  <c r="J715" i="76"/>
  <c r="BF715" i="76" s="1"/>
  <c r="BK712" i="76"/>
  <c r="BI712" i="76"/>
  <c r="BH712" i="76"/>
  <c r="BG712" i="76"/>
  <c r="BE712" i="76"/>
  <c r="T712" i="76"/>
  <c r="R712" i="76"/>
  <c r="P712" i="76"/>
  <c r="J712" i="76"/>
  <c r="BF712" i="76" s="1"/>
  <c r="BK711" i="76"/>
  <c r="BI711" i="76"/>
  <c r="BH711" i="76"/>
  <c r="BG711" i="76"/>
  <c r="BE711" i="76"/>
  <c r="T711" i="76"/>
  <c r="R711" i="76"/>
  <c r="P711" i="76"/>
  <c r="J711" i="76"/>
  <c r="BF711" i="76" s="1"/>
  <c r="BK708" i="76"/>
  <c r="BI708" i="76"/>
  <c r="BH708" i="76"/>
  <c r="BG708" i="76"/>
  <c r="BE708" i="76"/>
  <c r="T708" i="76"/>
  <c r="R708" i="76"/>
  <c r="P708" i="76"/>
  <c r="J708" i="76"/>
  <c r="BF708" i="76" s="1"/>
  <c r="BK707" i="76"/>
  <c r="BI707" i="76"/>
  <c r="BH707" i="76"/>
  <c r="BG707" i="76"/>
  <c r="BE707" i="76"/>
  <c r="T707" i="76"/>
  <c r="R707" i="76"/>
  <c r="P707" i="76"/>
  <c r="J707" i="76"/>
  <c r="BF707" i="76" s="1"/>
  <c r="BK706" i="76"/>
  <c r="BI706" i="76"/>
  <c r="BH706" i="76"/>
  <c r="BG706" i="76"/>
  <c r="BE706" i="76"/>
  <c r="T706" i="76"/>
  <c r="R706" i="76"/>
  <c r="P706" i="76"/>
  <c r="J706" i="76"/>
  <c r="BF706" i="76" s="1"/>
  <c r="BK703" i="76"/>
  <c r="BI703" i="76"/>
  <c r="BH703" i="76"/>
  <c r="BG703" i="76"/>
  <c r="BE703" i="76"/>
  <c r="T703" i="76"/>
  <c r="R703" i="76"/>
  <c r="P703" i="76"/>
  <c r="J703" i="76"/>
  <c r="BF703" i="76" s="1"/>
  <c r="BK702" i="76"/>
  <c r="BI702" i="76"/>
  <c r="BH702" i="76"/>
  <c r="BG702" i="76"/>
  <c r="BE702" i="76"/>
  <c r="T702" i="76"/>
  <c r="R702" i="76"/>
  <c r="P702" i="76"/>
  <c r="J702" i="76"/>
  <c r="BF702" i="76" s="1"/>
  <c r="BK701" i="76"/>
  <c r="BI701" i="76"/>
  <c r="BH701" i="76"/>
  <c r="BG701" i="76"/>
  <c r="BE701" i="76"/>
  <c r="T701" i="76"/>
  <c r="R701" i="76"/>
  <c r="P701" i="76"/>
  <c r="J701" i="76"/>
  <c r="BF701" i="76" s="1"/>
  <c r="BK699" i="76"/>
  <c r="BI699" i="76"/>
  <c r="BH699" i="76"/>
  <c r="BG699" i="76"/>
  <c r="BE699" i="76"/>
  <c r="T699" i="76"/>
  <c r="R699" i="76"/>
  <c r="P699" i="76"/>
  <c r="J699" i="76"/>
  <c r="BF699" i="76" s="1"/>
  <c r="BK698" i="76"/>
  <c r="BI698" i="76"/>
  <c r="BH698" i="76"/>
  <c r="BG698" i="76"/>
  <c r="BE698" i="76"/>
  <c r="T698" i="76"/>
  <c r="R698" i="76"/>
  <c r="P698" i="76"/>
  <c r="J698" i="76"/>
  <c r="BF698" i="76" s="1"/>
  <c r="BK697" i="76"/>
  <c r="BI697" i="76"/>
  <c r="BH697" i="76"/>
  <c r="BG697" i="76"/>
  <c r="BE697" i="76"/>
  <c r="T697" i="76"/>
  <c r="R697" i="76"/>
  <c r="P697" i="76"/>
  <c r="J697" i="76"/>
  <c r="BF697" i="76" s="1"/>
  <c r="BK695" i="76"/>
  <c r="BI695" i="76"/>
  <c r="BH695" i="76"/>
  <c r="BG695" i="76"/>
  <c r="BE695" i="76"/>
  <c r="T695" i="76"/>
  <c r="R695" i="76"/>
  <c r="P695" i="76"/>
  <c r="J695" i="76"/>
  <c r="BF695" i="76" s="1"/>
  <c r="BK693" i="76"/>
  <c r="BI693" i="76"/>
  <c r="BH693" i="76"/>
  <c r="BG693" i="76"/>
  <c r="BE693" i="76"/>
  <c r="T693" i="76"/>
  <c r="R693" i="76"/>
  <c r="P693" i="76"/>
  <c r="J693" i="76"/>
  <c r="BF693" i="76" s="1"/>
  <c r="BK692" i="76"/>
  <c r="BI692" i="76"/>
  <c r="BH692" i="76"/>
  <c r="BG692" i="76"/>
  <c r="BE692" i="76"/>
  <c r="T692" i="76"/>
  <c r="R692" i="76"/>
  <c r="P692" i="76"/>
  <c r="J692" i="76"/>
  <c r="BF692" i="76" s="1"/>
  <c r="BK690" i="76"/>
  <c r="BI690" i="76"/>
  <c r="BH690" i="76"/>
  <c r="BG690" i="76"/>
  <c r="BE690" i="76"/>
  <c r="T690" i="76"/>
  <c r="R690" i="76"/>
  <c r="P690" i="76"/>
  <c r="J690" i="76"/>
  <c r="BF690" i="76" s="1"/>
  <c r="BK686" i="76"/>
  <c r="BI686" i="76"/>
  <c r="BH686" i="76"/>
  <c r="BG686" i="76"/>
  <c r="BE686" i="76"/>
  <c r="T686" i="76"/>
  <c r="R686" i="76"/>
  <c r="P686" i="76"/>
  <c r="J686" i="76"/>
  <c r="BF686" i="76" s="1"/>
  <c r="BK684" i="76"/>
  <c r="BI684" i="76"/>
  <c r="BH684" i="76"/>
  <c r="BG684" i="76"/>
  <c r="BE684" i="76"/>
  <c r="T684" i="76"/>
  <c r="R684" i="76"/>
  <c r="P684" i="76"/>
  <c r="J684" i="76"/>
  <c r="BF684" i="76" s="1"/>
  <c r="BK676" i="76"/>
  <c r="BI676" i="76"/>
  <c r="BH676" i="76"/>
  <c r="BG676" i="76"/>
  <c r="BE676" i="76"/>
  <c r="T676" i="76"/>
  <c r="R676" i="76"/>
  <c r="P676" i="76"/>
  <c r="J676" i="76"/>
  <c r="BF676" i="76" s="1"/>
  <c r="BK675" i="76"/>
  <c r="BI675" i="76"/>
  <c r="BH675" i="76"/>
  <c r="BG675" i="76"/>
  <c r="BE675" i="76"/>
  <c r="T675" i="76"/>
  <c r="R675" i="76"/>
  <c r="P675" i="76"/>
  <c r="J675" i="76"/>
  <c r="BF675" i="76" s="1"/>
  <c r="BK674" i="76"/>
  <c r="BI674" i="76"/>
  <c r="BH674" i="76"/>
  <c r="BG674" i="76"/>
  <c r="BE674" i="76"/>
  <c r="T674" i="76"/>
  <c r="R674" i="76"/>
  <c r="P674" i="76"/>
  <c r="J674" i="76"/>
  <c r="BF674" i="76" s="1"/>
  <c r="BK673" i="76"/>
  <c r="BI673" i="76"/>
  <c r="BH673" i="76"/>
  <c r="BG673" i="76"/>
  <c r="BE673" i="76"/>
  <c r="T673" i="76"/>
  <c r="R673" i="76"/>
  <c r="P673" i="76"/>
  <c r="J673" i="76"/>
  <c r="BF673" i="76" s="1"/>
  <c r="BK668" i="76"/>
  <c r="BI668" i="76"/>
  <c r="BH668" i="76"/>
  <c r="BG668" i="76"/>
  <c r="BE668" i="76"/>
  <c r="T668" i="76"/>
  <c r="R668" i="76"/>
  <c r="P668" i="76"/>
  <c r="J668" i="76"/>
  <c r="BF668" i="76" s="1"/>
  <c r="BK666" i="76"/>
  <c r="BI666" i="76"/>
  <c r="BH666" i="76"/>
  <c r="BG666" i="76"/>
  <c r="BE666" i="76"/>
  <c r="T666" i="76"/>
  <c r="R666" i="76"/>
  <c r="P666" i="76"/>
  <c r="J666" i="76"/>
  <c r="BF666" i="76" s="1"/>
  <c r="BK665" i="76"/>
  <c r="BI665" i="76"/>
  <c r="BH665" i="76"/>
  <c r="BG665" i="76"/>
  <c r="BE665" i="76"/>
  <c r="T665" i="76"/>
  <c r="R665" i="76"/>
  <c r="P665" i="76"/>
  <c r="J665" i="76"/>
  <c r="BF665" i="76" s="1"/>
  <c r="BK660" i="76"/>
  <c r="BI660" i="76"/>
  <c r="BH660" i="76"/>
  <c r="BG660" i="76"/>
  <c r="BE660" i="76"/>
  <c r="T660" i="76"/>
  <c r="R660" i="76"/>
  <c r="P660" i="76"/>
  <c r="J660" i="76"/>
  <c r="BF660" i="76" s="1"/>
  <c r="BK659" i="76"/>
  <c r="BI659" i="76"/>
  <c r="BH659" i="76"/>
  <c r="BG659" i="76"/>
  <c r="BE659" i="76"/>
  <c r="T659" i="76"/>
  <c r="R659" i="76"/>
  <c r="P659" i="76"/>
  <c r="J659" i="76"/>
  <c r="BF659" i="76" s="1"/>
  <c r="BK656" i="76"/>
  <c r="BI656" i="76"/>
  <c r="BH656" i="76"/>
  <c r="BG656" i="76"/>
  <c r="BE656" i="76"/>
  <c r="T656" i="76"/>
  <c r="R656" i="76"/>
  <c r="P656" i="76"/>
  <c r="J656" i="76"/>
  <c r="BF656" i="76" s="1"/>
  <c r="BK654" i="76"/>
  <c r="BI654" i="76"/>
  <c r="BH654" i="76"/>
  <c r="BG654" i="76"/>
  <c r="BE654" i="76"/>
  <c r="T654" i="76"/>
  <c r="R654" i="76"/>
  <c r="P654" i="76"/>
  <c r="J654" i="76"/>
  <c r="BF654" i="76" s="1"/>
  <c r="BK650" i="76"/>
  <c r="BI650" i="76"/>
  <c r="BH650" i="76"/>
  <c r="BG650" i="76"/>
  <c r="BE650" i="76"/>
  <c r="T650" i="76"/>
  <c r="R650" i="76"/>
  <c r="P650" i="76"/>
  <c r="J650" i="76"/>
  <c r="BF650" i="76" s="1"/>
  <c r="BK648" i="76"/>
  <c r="BI648" i="76"/>
  <c r="BH648" i="76"/>
  <c r="BG648" i="76"/>
  <c r="BE648" i="76"/>
  <c r="T648" i="76"/>
  <c r="R648" i="76"/>
  <c r="P648" i="76"/>
  <c r="J648" i="76"/>
  <c r="BF648" i="76" s="1"/>
  <c r="BK645" i="76"/>
  <c r="BI645" i="76"/>
  <c r="BH645" i="76"/>
  <c r="BG645" i="76"/>
  <c r="BE645" i="76"/>
  <c r="T645" i="76"/>
  <c r="R645" i="76"/>
  <c r="P645" i="76"/>
  <c r="J645" i="76"/>
  <c r="BF645" i="76" s="1"/>
  <c r="BK643" i="76"/>
  <c r="BI643" i="76"/>
  <c r="BH643" i="76"/>
  <c r="BG643" i="76"/>
  <c r="BE643" i="76"/>
  <c r="T643" i="76"/>
  <c r="R643" i="76"/>
  <c r="P643" i="76"/>
  <c r="J643" i="76"/>
  <c r="BF643" i="76" s="1"/>
  <c r="BK639" i="76"/>
  <c r="BI639" i="76"/>
  <c r="BH639" i="76"/>
  <c r="BG639" i="76"/>
  <c r="BE639" i="76"/>
  <c r="T639" i="76"/>
  <c r="R639" i="76"/>
  <c r="P639" i="76"/>
  <c r="J639" i="76"/>
  <c r="BF639" i="76" s="1"/>
  <c r="BK637" i="76"/>
  <c r="BI637" i="76"/>
  <c r="BH637" i="76"/>
  <c r="BG637" i="76"/>
  <c r="BE637" i="76"/>
  <c r="T637" i="76"/>
  <c r="R637" i="76"/>
  <c r="P637" i="76"/>
  <c r="J637" i="76"/>
  <c r="BF637" i="76" s="1"/>
  <c r="BK635" i="76"/>
  <c r="BI635" i="76"/>
  <c r="BH635" i="76"/>
  <c r="BG635" i="76"/>
  <c r="BE635" i="76"/>
  <c r="T635" i="76"/>
  <c r="R635" i="76"/>
  <c r="P635" i="76"/>
  <c r="J635" i="76"/>
  <c r="BF635" i="76" s="1"/>
  <c r="BI617" i="76"/>
  <c r="BH617" i="76"/>
  <c r="BG617" i="76"/>
  <c r="BE617" i="76"/>
  <c r="T617" i="76"/>
  <c r="R617" i="76"/>
  <c r="P617" i="76"/>
  <c r="BF617" i="76"/>
  <c r="BK615" i="76"/>
  <c r="BI615" i="76"/>
  <c r="BH615" i="76"/>
  <c r="BG615" i="76"/>
  <c r="BE615" i="76"/>
  <c r="T615" i="76"/>
  <c r="R615" i="76"/>
  <c r="P615" i="76"/>
  <c r="J615" i="76"/>
  <c r="BF615" i="76" s="1"/>
  <c r="BK609" i="76"/>
  <c r="BI609" i="76"/>
  <c r="BH609" i="76"/>
  <c r="BG609" i="76"/>
  <c r="BE609" i="76"/>
  <c r="T609" i="76"/>
  <c r="R609" i="76"/>
  <c r="P609" i="76"/>
  <c r="J609" i="76"/>
  <c r="BF609" i="76" s="1"/>
  <c r="BK607" i="76"/>
  <c r="BI607" i="76"/>
  <c r="BH607" i="76"/>
  <c r="BG607" i="76"/>
  <c r="BE607" i="76"/>
  <c r="T607" i="76"/>
  <c r="R607" i="76"/>
  <c r="P607" i="76"/>
  <c r="J607" i="76"/>
  <c r="BF607" i="76" s="1"/>
  <c r="BK605" i="76"/>
  <c r="BI605" i="76"/>
  <c r="BH605" i="76"/>
  <c r="BG605" i="76"/>
  <c r="BE605" i="76"/>
  <c r="T605" i="76"/>
  <c r="R605" i="76"/>
  <c r="P605" i="76"/>
  <c r="J605" i="76"/>
  <c r="BF605" i="76" s="1"/>
  <c r="BK601" i="76"/>
  <c r="BI601" i="76"/>
  <c r="BH601" i="76"/>
  <c r="BG601" i="76"/>
  <c r="BE601" i="76"/>
  <c r="T601" i="76"/>
  <c r="R601" i="76"/>
  <c r="P601" i="76"/>
  <c r="J601" i="76"/>
  <c r="BF601" i="76" s="1"/>
  <c r="BK600" i="76"/>
  <c r="BI600" i="76"/>
  <c r="BH600" i="76"/>
  <c r="BG600" i="76"/>
  <c r="BE600" i="76"/>
  <c r="T600" i="76"/>
  <c r="R600" i="76"/>
  <c r="P600" i="76"/>
  <c r="J600" i="76"/>
  <c r="BF600" i="76" s="1"/>
  <c r="BK590" i="76"/>
  <c r="BI590" i="76"/>
  <c r="BH590" i="76"/>
  <c r="BG590" i="76"/>
  <c r="BE590" i="76"/>
  <c r="T590" i="76"/>
  <c r="R590" i="76"/>
  <c r="P590" i="76"/>
  <c r="J590" i="76"/>
  <c r="BF590" i="76" s="1"/>
  <c r="BK580" i="76"/>
  <c r="BI580" i="76"/>
  <c r="BH580" i="76"/>
  <c r="BG580" i="76"/>
  <c r="BE580" i="76"/>
  <c r="T580" i="76"/>
  <c r="R580" i="76"/>
  <c r="P580" i="76"/>
  <c r="J580" i="76"/>
  <c r="BF580" i="76" s="1"/>
  <c r="BK570" i="76"/>
  <c r="BI570" i="76"/>
  <c r="BH570" i="76"/>
  <c r="BG570" i="76"/>
  <c r="BE570" i="76"/>
  <c r="T570" i="76"/>
  <c r="R570" i="76"/>
  <c r="P570" i="76"/>
  <c r="J570" i="76"/>
  <c r="BF570" i="76" s="1"/>
  <c r="BK569" i="76"/>
  <c r="BI569" i="76"/>
  <c r="BH569" i="76"/>
  <c r="BG569" i="76"/>
  <c r="BE569" i="76"/>
  <c r="T569" i="76"/>
  <c r="R569" i="76"/>
  <c r="P569" i="76"/>
  <c r="J569" i="76"/>
  <c r="BF569" i="76" s="1"/>
  <c r="BK554" i="76"/>
  <c r="BI554" i="76"/>
  <c r="BH554" i="76"/>
  <c r="BG554" i="76"/>
  <c r="BE554" i="76"/>
  <c r="T554" i="76"/>
  <c r="R554" i="76"/>
  <c r="P554" i="76"/>
  <c r="J554" i="76"/>
  <c r="BF554" i="76" s="1"/>
  <c r="BK553" i="76"/>
  <c r="BI553" i="76"/>
  <c r="BH553" i="76"/>
  <c r="BG553" i="76"/>
  <c r="BE553" i="76"/>
  <c r="T553" i="76"/>
  <c r="R553" i="76"/>
  <c r="P553" i="76"/>
  <c r="J553" i="76"/>
  <c r="BF553" i="76" s="1"/>
  <c r="BK552" i="76"/>
  <c r="BI552" i="76"/>
  <c r="BH552" i="76"/>
  <c r="BG552" i="76"/>
  <c r="BE552" i="76"/>
  <c r="T552" i="76"/>
  <c r="R552" i="76"/>
  <c r="P552" i="76"/>
  <c r="J552" i="76"/>
  <c r="BF552" i="76" s="1"/>
  <c r="BK550" i="76"/>
  <c r="BI550" i="76"/>
  <c r="BH550" i="76"/>
  <c r="BG550" i="76"/>
  <c r="BE550" i="76"/>
  <c r="T550" i="76"/>
  <c r="R550" i="76"/>
  <c r="P550" i="76"/>
  <c r="J550" i="76"/>
  <c r="BF550" i="76" s="1"/>
  <c r="BK546" i="76"/>
  <c r="BI546" i="76"/>
  <c r="BH546" i="76"/>
  <c r="BG546" i="76"/>
  <c r="BE546" i="76"/>
  <c r="T546" i="76"/>
  <c r="R546" i="76"/>
  <c r="P546" i="76"/>
  <c r="J546" i="76"/>
  <c r="BF546" i="76" s="1"/>
  <c r="BK545" i="76"/>
  <c r="BI545" i="76"/>
  <c r="BH545" i="76"/>
  <c r="BG545" i="76"/>
  <c r="BE545" i="76"/>
  <c r="T545" i="76"/>
  <c r="R545" i="76"/>
  <c r="P545" i="76"/>
  <c r="J545" i="76"/>
  <c r="BF545" i="76" s="1"/>
  <c r="BK544" i="76"/>
  <c r="BI544" i="76"/>
  <c r="BH544" i="76"/>
  <c r="BG544" i="76"/>
  <c r="BE544" i="76"/>
  <c r="T544" i="76"/>
  <c r="R544" i="76"/>
  <c r="P544" i="76"/>
  <c r="J544" i="76"/>
  <c r="BF544" i="76" s="1"/>
  <c r="BK533" i="76"/>
  <c r="BI533" i="76"/>
  <c r="BH533" i="76"/>
  <c r="BG533" i="76"/>
  <c r="BE533" i="76"/>
  <c r="T533" i="76"/>
  <c r="R533" i="76"/>
  <c r="P533" i="76"/>
  <c r="J533" i="76"/>
  <c r="BF533" i="76" s="1"/>
  <c r="BK531" i="76"/>
  <c r="BI531" i="76"/>
  <c r="BH531" i="76"/>
  <c r="BG531" i="76"/>
  <c r="BE531" i="76"/>
  <c r="T531" i="76"/>
  <c r="R531" i="76"/>
  <c r="P531" i="76"/>
  <c r="J531" i="76"/>
  <c r="BF531" i="76" s="1"/>
  <c r="BK530" i="76"/>
  <c r="BI530" i="76"/>
  <c r="BH530" i="76"/>
  <c r="BG530" i="76"/>
  <c r="BE530" i="76"/>
  <c r="T530" i="76"/>
  <c r="R530" i="76"/>
  <c r="P530" i="76"/>
  <c r="J530" i="76"/>
  <c r="BF530" i="76" s="1"/>
  <c r="BK529" i="76"/>
  <c r="BI529" i="76"/>
  <c r="BH529" i="76"/>
  <c r="BG529" i="76"/>
  <c r="BE529" i="76"/>
  <c r="T529" i="76"/>
  <c r="R529" i="76"/>
  <c r="P529" i="76"/>
  <c r="J529" i="76"/>
  <c r="BF529" i="76" s="1"/>
  <c r="BK528" i="76"/>
  <c r="BI528" i="76"/>
  <c r="BH528" i="76"/>
  <c r="BG528" i="76"/>
  <c r="BE528" i="76"/>
  <c r="T528" i="76"/>
  <c r="R528" i="76"/>
  <c r="P528" i="76"/>
  <c r="J528" i="76"/>
  <c r="BF528" i="76" s="1"/>
  <c r="BK527" i="76"/>
  <c r="BI527" i="76"/>
  <c r="BH527" i="76"/>
  <c r="BG527" i="76"/>
  <c r="BE527" i="76"/>
  <c r="T527" i="76"/>
  <c r="R527" i="76"/>
  <c r="P527" i="76"/>
  <c r="J527" i="76"/>
  <c r="BF527" i="76" s="1"/>
  <c r="BK526" i="76"/>
  <c r="BI526" i="76"/>
  <c r="BH526" i="76"/>
  <c r="BG526" i="76"/>
  <c r="BE526" i="76"/>
  <c r="T526" i="76"/>
  <c r="R526" i="76"/>
  <c r="P526" i="76"/>
  <c r="J526" i="76"/>
  <c r="BF526" i="76" s="1"/>
  <c r="BK525" i="76"/>
  <c r="BI525" i="76"/>
  <c r="BH525" i="76"/>
  <c r="BG525" i="76"/>
  <c r="BE525" i="76"/>
  <c r="T525" i="76"/>
  <c r="R525" i="76"/>
  <c r="P525" i="76"/>
  <c r="J525" i="76"/>
  <c r="BF525" i="76" s="1"/>
  <c r="BK524" i="76"/>
  <c r="BI524" i="76"/>
  <c r="BH524" i="76"/>
  <c r="BG524" i="76"/>
  <c r="BE524" i="76"/>
  <c r="T524" i="76"/>
  <c r="R524" i="76"/>
  <c r="P524" i="76"/>
  <c r="J524" i="76"/>
  <c r="BF524" i="76" s="1"/>
  <c r="BK523" i="76"/>
  <c r="BI523" i="76"/>
  <c r="BH523" i="76"/>
  <c r="BG523" i="76"/>
  <c r="BE523" i="76"/>
  <c r="T523" i="76"/>
  <c r="R523" i="76"/>
  <c r="P523" i="76"/>
  <c r="J523" i="76"/>
  <c r="BF523" i="76" s="1"/>
  <c r="BK518" i="76"/>
  <c r="BI518" i="76"/>
  <c r="BH518" i="76"/>
  <c r="BG518" i="76"/>
  <c r="BE518" i="76"/>
  <c r="T518" i="76"/>
  <c r="R518" i="76"/>
  <c r="P518" i="76"/>
  <c r="J518" i="76"/>
  <c r="BF518" i="76" s="1"/>
  <c r="BK517" i="76"/>
  <c r="BI517" i="76"/>
  <c r="BH517" i="76"/>
  <c r="BG517" i="76"/>
  <c r="BE517" i="76"/>
  <c r="T517" i="76"/>
  <c r="R517" i="76"/>
  <c r="P517" i="76"/>
  <c r="J517" i="76"/>
  <c r="BF517" i="76" s="1"/>
  <c r="BK505" i="76"/>
  <c r="BI505" i="76"/>
  <c r="BH505" i="76"/>
  <c r="BG505" i="76"/>
  <c r="BE505" i="76"/>
  <c r="T505" i="76"/>
  <c r="R505" i="76"/>
  <c r="P505" i="76"/>
  <c r="J505" i="76"/>
  <c r="BF505" i="76" s="1"/>
  <c r="BK503" i="76"/>
  <c r="BI503" i="76"/>
  <c r="BH503" i="76"/>
  <c r="BG503" i="76"/>
  <c r="BE503" i="76"/>
  <c r="T503" i="76"/>
  <c r="R503" i="76"/>
  <c r="P503" i="76"/>
  <c r="J503" i="76"/>
  <c r="BF503" i="76" s="1"/>
  <c r="BK496" i="76"/>
  <c r="BI496" i="76"/>
  <c r="BH496" i="76"/>
  <c r="BG496" i="76"/>
  <c r="BE496" i="76"/>
  <c r="T496" i="76"/>
  <c r="R496" i="76"/>
  <c r="P496" i="76"/>
  <c r="J496" i="76"/>
  <c r="BF496" i="76" s="1"/>
  <c r="BK495" i="76"/>
  <c r="BI495" i="76"/>
  <c r="BH495" i="76"/>
  <c r="BG495" i="76"/>
  <c r="BE495" i="76"/>
  <c r="T495" i="76"/>
  <c r="R495" i="76"/>
  <c r="P495" i="76"/>
  <c r="J495" i="76"/>
  <c r="BF495" i="76" s="1"/>
  <c r="BK492" i="76"/>
  <c r="BI492" i="76"/>
  <c r="BH492" i="76"/>
  <c r="BG492" i="76"/>
  <c r="BE492" i="76"/>
  <c r="T492" i="76"/>
  <c r="R492" i="76"/>
  <c r="P492" i="76"/>
  <c r="J492" i="76"/>
  <c r="BF492"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4" i="76"/>
  <c r="BI484" i="76"/>
  <c r="BH484" i="76"/>
  <c r="BG484" i="76"/>
  <c r="BE484" i="76"/>
  <c r="T484" i="76"/>
  <c r="R484" i="76"/>
  <c r="P484" i="76"/>
  <c r="J484" i="76"/>
  <c r="BF484" i="76" s="1"/>
  <c r="BK473" i="76"/>
  <c r="BI473" i="76"/>
  <c r="BH473" i="76"/>
  <c r="BG473" i="76"/>
  <c r="BE473" i="76"/>
  <c r="T473" i="76"/>
  <c r="R473" i="76"/>
  <c r="P473" i="76"/>
  <c r="J473" i="76"/>
  <c r="BF473" i="76" s="1"/>
  <c r="BK472" i="76"/>
  <c r="BI472" i="76"/>
  <c r="BH472" i="76"/>
  <c r="BG472" i="76"/>
  <c r="BE472" i="76"/>
  <c r="T472" i="76"/>
  <c r="R472" i="76"/>
  <c r="P472" i="76"/>
  <c r="J472" i="76"/>
  <c r="BF472" i="76" s="1"/>
  <c r="BK471" i="76"/>
  <c r="BI471" i="76"/>
  <c r="BH471" i="76"/>
  <c r="BG471" i="76"/>
  <c r="BE471" i="76"/>
  <c r="T471" i="76"/>
  <c r="R471" i="76"/>
  <c r="P471" i="76"/>
  <c r="J471" i="76"/>
  <c r="BF471" i="76" s="1"/>
  <c r="BK470" i="76"/>
  <c r="BI470" i="76"/>
  <c r="BH470" i="76"/>
  <c r="BG470" i="76"/>
  <c r="BE470" i="76"/>
  <c r="T470" i="76"/>
  <c r="R470" i="76"/>
  <c r="P470" i="76"/>
  <c r="J470" i="76"/>
  <c r="BF470" i="76" s="1"/>
  <c r="BK460" i="76"/>
  <c r="BI460" i="76"/>
  <c r="BH460" i="76"/>
  <c r="BG460" i="76"/>
  <c r="BE460" i="76"/>
  <c r="T460" i="76"/>
  <c r="R460" i="76"/>
  <c r="P460" i="76"/>
  <c r="J460" i="76"/>
  <c r="BF460" i="76" s="1"/>
  <c r="BK450" i="76"/>
  <c r="BI450" i="76"/>
  <c r="BH450" i="76"/>
  <c r="BG450" i="76"/>
  <c r="BE450" i="76"/>
  <c r="T450" i="76"/>
  <c r="R450" i="76"/>
  <c r="P450" i="76"/>
  <c r="J450" i="76"/>
  <c r="BF450" i="76" s="1"/>
  <c r="BK445" i="76"/>
  <c r="BI445" i="76"/>
  <c r="BH445" i="76"/>
  <c r="BG445" i="76"/>
  <c r="BE445" i="76"/>
  <c r="T445" i="76"/>
  <c r="R445" i="76"/>
  <c r="P445" i="76"/>
  <c r="J445" i="76"/>
  <c r="BF445" i="76" s="1"/>
  <c r="BK441" i="76"/>
  <c r="BI441" i="76"/>
  <c r="BH441" i="76"/>
  <c r="BG441" i="76"/>
  <c r="BE441" i="76"/>
  <c r="T441" i="76"/>
  <c r="R441" i="76"/>
  <c r="P441" i="76"/>
  <c r="J441" i="76"/>
  <c r="BF441" i="76" s="1"/>
  <c r="BK436" i="76"/>
  <c r="BI436" i="76"/>
  <c r="BH436" i="76"/>
  <c r="BG436" i="76"/>
  <c r="BE436" i="76"/>
  <c r="T436" i="76"/>
  <c r="R436" i="76"/>
  <c r="P436" i="76"/>
  <c r="J436" i="76"/>
  <c r="BF436" i="76" s="1"/>
  <c r="BK428" i="76"/>
  <c r="BI428" i="76"/>
  <c r="BH428" i="76"/>
  <c r="BG428" i="76"/>
  <c r="BE428" i="76"/>
  <c r="T428" i="76"/>
  <c r="R428" i="76"/>
  <c r="P428" i="76"/>
  <c r="J428" i="76"/>
  <c r="BF428" i="76" s="1"/>
  <c r="BK427" i="76"/>
  <c r="BI427" i="76"/>
  <c r="BH427" i="76"/>
  <c r="BG427" i="76"/>
  <c r="BE427" i="76"/>
  <c r="T427" i="76"/>
  <c r="R427" i="76"/>
  <c r="P427" i="76"/>
  <c r="J427" i="76"/>
  <c r="BF427" i="76" s="1"/>
  <c r="BK425" i="76"/>
  <c r="BI425" i="76"/>
  <c r="BH425" i="76"/>
  <c r="BG425" i="76"/>
  <c r="BE425" i="76"/>
  <c r="T425" i="76"/>
  <c r="R425" i="76"/>
  <c r="P425" i="76"/>
  <c r="J425" i="76"/>
  <c r="BF425" i="76" s="1"/>
  <c r="BK423" i="76"/>
  <c r="BI423" i="76"/>
  <c r="BH423" i="76"/>
  <c r="BG423" i="76"/>
  <c r="BE423" i="76"/>
  <c r="T423" i="76"/>
  <c r="R423" i="76"/>
  <c r="P423" i="76"/>
  <c r="J423" i="76"/>
  <c r="BF423" i="76" s="1"/>
  <c r="BK407" i="76"/>
  <c r="BI407" i="76"/>
  <c r="BH407" i="76"/>
  <c r="BG407" i="76"/>
  <c r="BE407" i="76"/>
  <c r="T407" i="76"/>
  <c r="R407" i="76"/>
  <c r="P407" i="76"/>
  <c r="J407" i="76"/>
  <c r="BF407" i="76" s="1"/>
  <c r="BK390" i="76"/>
  <c r="BI390" i="76"/>
  <c r="BH390" i="76"/>
  <c r="BG390" i="76"/>
  <c r="BE390" i="76"/>
  <c r="T390" i="76"/>
  <c r="R390" i="76"/>
  <c r="P390" i="76"/>
  <c r="J390" i="76"/>
  <c r="BF390" i="76" s="1"/>
  <c r="BK386" i="76"/>
  <c r="BI386" i="76"/>
  <c r="BH386" i="76"/>
  <c r="BG386" i="76"/>
  <c r="BE386" i="76"/>
  <c r="T386" i="76"/>
  <c r="R386" i="76"/>
  <c r="P386" i="76"/>
  <c r="J386" i="76"/>
  <c r="BF386" i="76" s="1"/>
  <c r="BK379" i="76"/>
  <c r="BI379" i="76"/>
  <c r="BH379" i="76"/>
  <c r="BG379" i="76"/>
  <c r="BE379" i="76"/>
  <c r="T379" i="76"/>
  <c r="R379" i="76"/>
  <c r="P379" i="76"/>
  <c r="J379" i="76"/>
  <c r="BF379" i="76" s="1"/>
  <c r="BK376" i="76"/>
  <c r="BI376" i="76"/>
  <c r="BH376" i="76"/>
  <c r="BG376" i="76"/>
  <c r="BE376" i="76"/>
  <c r="T376" i="76"/>
  <c r="R376" i="76"/>
  <c r="P376" i="76"/>
  <c r="J376" i="76"/>
  <c r="BF376" i="76" s="1"/>
  <c r="BK373" i="76"/>
  <c r="BI373" i="76"/>
  <c r="BH373" i="76"/>
  <c r="BG373" i="76"/>
  <c r="BE373" i="76"/>
  <c r="T373" i="76"/>
  <c r="R373" i="76"/>
  <c r="P373" i="76"/>
  <c r="J373" i="76"/>
  <c r="BF373" i="76" s="1"/>
  <c r="BK371" i="76"/>
  <c r="BI371" i="76"/>
  <c r="BH371" i="76"/>
  <c r="BG371" i="76"/>
  <c r="BE371" i="76"/>
  <c r="T371" i="76"/>
  <c r="R371" i="76"/>
  <c r="P371" i="76"/>
  <c r="J371" i="76"/>
  <c r="BF371" i="76" s="1"/>
  <c r="BK370" i="76"/>
  <c r="BI370" i="76"/>
  <c r="BH370" i="76"/>
  <c r="BG370" i="76"/>
  <c r="BE370" i="76"/>
  <c r="T370" i="76"/>
  <c r="R370" i="76"/>
  <c r="P370" i="76"/>
  <c r="J370" i="76"/>
  <c r="BF370" i="76" s="1"/>
  <c r="BK366" i="76"/>
  <c r="BI366" i="76"/>
  <c r="BH366" i="76"/>
  <c r="BG366" i="76"/>
  <c r="BE366" i="76"/>
  <c r="T366" i="76"/>
  <c r="R366" i="76"/>
  <c r="P366" i="76"/>
  <c r="J366" i="76"/>
  <c r="BF366" i="76" s="1"/>
  <c r="BK362" i="76"/>
  <c r="BI362" i="76"/>
  <c r="BH362" i="76"/>
  <c r="BG362" i="76"/>
  <c r="BE362" i="76"/>
  <c r="T362" i="76"/>
  <c r="R362" i="76"/>
  <c r="P362" i="76"/>
  <c r="J362" i="76"/>
  <c r="BF362" i="76" s="1"/>
  <c r="BK360" i="76"/>
  <c r="BI360" i="76"/>
  <c r="BH360" i="76"/>
  <c r="BG360" i="76"/>
  <c r="BE360" i="76"/>
  <c r="T360" i="76"/>
  <c r="R360" i="76"/>
  <c r="P360" i="76"/>
  <c r="J360" i="76"/>
  <c r="BF360" i="76" s="1"/>
  <c r="BK359" i="76"/>
  <c r="BI359" i="76"/>
  <c r="BH359" i="76"/>
  <c r="BG359" i="76"/>
  <c r="BE359" i="76"/>
  <c r="T359" i="76"/>
  <c r="R359" i="76"/>
  <c r="P359" i="76"/>
  <c r="J359" i="76"/>
  <c r="BF359" i="76" s="1"/>
  <c r="BK358" i="76"/>
  <c r="BI358" i="76"/>
  <c r="BH358" i="76"/>
  <c r="BG358" i="76"/>
  <c r="BE358" i="76"/>
  <c r="T358" i="76"/>
  <c r="R358" i="76"/>
  <c r="P358" i="76"/>
  <c r="J358" i="76"/>
  <c r="BF358" i="76" s="1"/>
  <c r="BK356" i="76"/>
  <c r="BI356" i="76"/>
  <c r="BH356" i="76"/>
  <c r="BG356" i="76"/>
  <c r="BE356" i="76"/>
  <c r="T356" i="76"/>
  <c r="R356" i="76"/>
  <c r="P356" i="76"/>
  <c r="J356" i="76"/>
  <c r="BF356" i="76" s="1"/>
  <c r="BK346" i="76"/>
  <c r="BI346" i="76"/>
  <c r="BH346" i="76"/>
  <c r="BG346" i="76"/>
  <c r="BE346" i="76"/>
  <c r="T346" i="76"/>
  <c r="R346" i="76"/>
  <c r="P346" i="76"/>
  <c r="J346" i="76"/>
  <c r="BF346" i="76" s="1"/>
  <c r="BK339" i="76"/>
  <c r="BI339" i="76"/>
  <c r="BH339" i="76"/>
  <c r="BG339" i="76"/>
  <c r="BE339" i="76"/>
  <c r="T339" i="76"/>
  <c r="R339" i="76"/>
  <c r="P339" i="76"/>
  <c r="J339" i="76"/>
  <c r="BF339" i="76" s="1"/>
  <c r="BK316" i="76"/>
  <c r="BI316" i="76"/>
  <c r="BH316" i="76"/>
  <c r="BG316" i="76"/>
  <c r="BE316" i="76"/>
  <c r="T316" i="76"/>
  <c r="R316" i="76"/>
  <c r="P316" i="76"/>
  <c r="J316" i="76"/>
  <c r="BF316" i="76" s="1"/>
  <c r="BK304" i="76"/>
  <c r="BI304" i="76"/>
  <c r="BH304" i="76"/>
  <c r="BG304" i="76"/>
  <c r="BE304" i="76"/>
  <c r="T304" i="76"/>
  <c r="R304" i="76"/>
  <c r="P304" i="76"/>
  <c r="J304" i="76"/>
  <c r="BF304" i="76" s="1"/>
  <c r="BK300" i="76"/>
  <c r="BI300" i="76"/>
  <c r="BH300" i="76"/>
  <c r="BG300" i="76"/>
  <c r="BE300" i="76"/>
  <c r="T300" i="76"/>
  <c r="R300" i="76"/>
  <c r="P300" i="76"/>
  <c r="J300" i="76"/>
  <c r="BF300" i="76" s="1"/>
  <c r="BK294" i="76"/>
  <c r="BI294" i="76"/>
  <c r="BH294" i="76"/>
  <c r="BG294" i="76"/>
  <c r="BE294" i="76"/>
  <c r="T294" i="76"/>
  <c r="R294" i="76"/>
  <c r="P294" i="76"/>
  <c r="J294" i="76"/>
  <c r="BF294" i="76" s="1"/>
  <c r="BI289" i="76"/>
  <c r="BH289" i="76"/>
  <c r="BG289" i="76"/>
  <c r="BE289" i="76"/>
  <c r="T289" i="76"/>
  <c r="R289" i="76"/>
  <c r="P289" i="76"/>
  <c r="BF289" i="76"/>
  <c r="BK273" i="76"/>
  <c r="BI273" i="76"/>
  <c r="BH273" i="76"/>
  <c r="BG273" i="76"/>
  <c r="BE273" i="76"/>
  <c r="T273" i="76"/>
  <c r="R273" i="76"/>
  <c r="P273" i="76"/>
  <c r="J273" i="76"/>
  <c r="BF273" i="76" s="1"/>
  <c r="BK265" i="76"/>
  <c r="BI265" i="76"/>
  <c r="BH265" i="76"/>
  <c r="BG265" i="76"/>
  <c r="BE265" i="76"/>
  <c r="T265" i="76"/>
  <c r="R265" i="76"/>
  <c r="P265" i="76"/>
  <c r="J265" i="76"/>
  <c r="BF265" i="76" s="1"/>
  <c r="BK257" i="76"/>
  <c r="BI257" i="76"/>
  <c r="BH257" i="76"/>
  <c r="BG257" i="76"/>
  <c r="BE257" i="76"/>
  <c r="T257" i="76"/>
  <c r="R257" i="76"/>
  <c r="P257" i="76"/>
  <c r="J257" i="76"/>
  <c r="BF257" i="76" s="1"/>
  <c r="BI253" i="76"/>
  <c r="BH253" i="76"/>
  <c r="BG253" i="76"/>
  <c r="BE253" i="76"/>
  <c r="T253" i="76"/>
  <c r="R253" i="76"/>
  <c r="P253" i="76"/>
  <c r="BF253" i="76"/>
  <c r="BI249" i="76"/>
  <c r="BH249" i="76"/>
  <c r="BG249" i="76"/>
  <c r="BE249" i="76"/>
  <c r="T249" i="76"/>
  <c r="R249" i="76"/>
  <c r="P249" i="76"/>
  <c r="BF249" i="76"/>
  <c r="BK241" i="76"/>
  <c r="BI241" i="76"/>
  <c r="BH241" i="76"/>
  <c r="BG241" i="76"/>
  <c r="BE241" i="76"/>
  <c r="T241" i="76"/>
  <c r="R241" i="76"/>
  <c r="P241" i="76"/>
  <c r="J241" i="76"/>
  <c r="BF241" i="76" s="1"/>
  <c r="BI237" i="76"/>
  <c r="BH237" i="76"/>
  <c r="BG237" i="76"/>
  <c r="BE237" i="76"/>
  <c r="T237" i="76"/>
  <c r="R237" i="76"/>
  <c r="P237" i="76"/>
  <c r="BF237" i="76"/>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BK902" i="78" l="1"/>
  <c r="J902" i="78" s="1"/>
  <c r="J115" i="78" s="1"/>
  <c r="R1616" i="78"/>
  <c r="P489" i="78"/>
  <c r="R556" i="78"/>
  <c r="P295" i="78"/>
  <c r="P1629" i="78"/>
  <c r="R478" i="78"/>
  <c r="BK132" i="77"/>
  <c r="P223" i="77"/>
  <c r="T338" i="77"/>
  <c r="R264" i="77"/>
  <c r="T167" i="77"/>
  <c r="T324" i="77"/>
  <c r="P167" i="77"/>
  <c r="R132" i="77"/>
  <c r="R131" i="77" s="1"/>
  <c r="R167" i="77"/>
  <c r="R176" i="77"/>
  <c r="T223" i="77"/>
  <c r="P338" i="77"/>
  <c r="BK324" i="77"/>
  <c r="J324" i="77" s="1"/>
  <c r="J105" i="77" s="1"/>
  <c r="BK1084" i="76"/>
  <c r="BK894" i="76"/>
  <c r="J894" i="76" s="1"/>
  <c r="J109" i="76" s="1"/>
  <c r="BK728" i="76"/>
  <c r="J728" i="76" s="1"/>
  <c r="BK777" i="76"/>
  <c r="J777" i="76" s="1"/>
  <c r="J108" i="76" s="1"/>
  <c r="J1076" i="76"/>
  <c r="J111" i="76" s="1"/>
  <c r="BK985" i="76"/>
  <c r="J985" i="76" s="1"/>
  <c r="J110" i="76" s="1"/>
  <c r="BK375" i="76"/>
  <c r="J375" i="76" s="1"/>
  <c r="J100" i="76" s="1"/>
  <c r="BK449" i="76"/>
  <c r="J449" i="76" s="1"/>
  <c r="J101" i="76" s="1"/>
  <c r="BK685" i="76"/>
  <c r="J685" i="76" s="1"/>
  <c r="BK1124" i="76"/>
  <c r="J1124" i="76" s="1"/>
  <c r="J114" i="76" s="1"/>
  <c r="J274" i="80"/>
  <c r="J102" i="80" s="1"/>
  <c r="BK134" i="80"/>
  <c r="BK149" i="76"/>
  <c r="J149" i="76" s="1"/>
  <c r="T135" i="80"/>
  <c r="T277" i="80"/>
  <c r="J135" i="80"/>
  <c r="J98" i="80" s="1"/>
  <c r="P237" i="80"/>
  <c r="T237" i="80"/>
  <c r="R169" i="80"/>
  <c r="P277" i="80"/>
  <c r="P276" i="80" s="1"/>
  <c r="P260" i="80"/>
  <c r="T169" i="80"/>
  <c r="T1139" i="76"/>
  <c r="BK1185" i="76"/>
  <c r="BK736" i="76"/>
  <c r="F39" i="81"/>
  <c r="BD100" i="75" s="1"/>
  <c r="F37" i="81"/>
  <c r="BB100" i="75" s="1"/>
  <c r="J91" i="81"/>
  <c r="T1199" i="76"/>
  <c r="P1199" i="76"/>
  <c r="F37" i="77"/>
  <c r="BB96" i="75" s="1"/>
  <c r="F39" i="77"/>
  <c r="BD96" i="75" s="1"/>
  <c r="BK489" i="78"/>
  <c r="J489" i="78" s="1"/>
  <c r="J109" i="78" s="1"/>
  <c r="BK579" i="78"/>
  <c r="J579"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36" i="76"/>
  <c r="BK1139" i="76"/>
  <c r="BK219" i="76"/>
  <c r="R728" i="76"/>
  <c r="T1095" i="76"/>
  <c r="T1084" i="76" s="1"/>
  <c r="R777" i="76"/>
  <c r="R1124" i="76"/>
  <c r="R736" i="76"/>
  <c r="T1178" i="76"/>
  <c r="T685" i="76"/>
  <c r="BK744" i="76"/>
  <c r="F38" i="76"/>
  <c r="BC95" i="75" s="1"/>
  <c r="P744" i="76"/>
  <c r="P1139" i="76"/>
  <c r="R1185" i="76"/>
  <c r="P219" i="76"/>
  <c r="P449" i="76"/>
  <c r="T894" i="76"/>
  <c r="R985" i="76"/>
  <c r="BK1095" i="76"/>
  <c r="R1139" i="76"/>
  <c r="P985" i="76"/>
  <c r="P149" i="76"/>
  <c r="E85" i="76"/>
  <c r="R149" i="76"/>
  <c r="J36" i="76"/>
  <c r="AW95" i="75" s="1"/>
  <c r="R375" i="76"/>
  <c r="T532" i="76"/>
  <c r="P532" i="76"/>
  <c r="BK532" i="76"/>
  <c r="P894" i="76"/>
  <c r="R1199" i="76"/>
  <c r="T375" i="76"/>
  <c r="R449" i="76"/>
  <c r="R532" i="76"/>
  <c r="P728" i="76"/>
  <c r="T744" i="76"/>
  <c r="T1124" i="76"/>
  <c r="P1178" i="76"/>
  <c r="J143" i="76"/>
  <c r="T449" i="76"/>
  <c r="R1178" i="76"/>
  <c r="BK1178" i="76"/>
  <c r="P1185" i="76"/>
  <c r="J35" i="76"/>
  <c r="AV95" i="75" s="1"/>
  <c r="R219" i="76"/>
  <c r="T736" i="76"/>
  <c r="R1158" i="76"/>
  <c r="P1158" i="76"/>
  <c r="BK1158" i="76"/>
  <c r="T1185" i="76"/>
  <c r="T219" i="76"/>
  <c r="T777" i="76"/>
  <c r="P1095" i="76"/>
  <c r="P1084" i="76" s="1"/>
  <c r="T1158" i="76"/>
  <c r="T149" i="76"/>
  <c r="P375" i="76"/>
  <c r="F39" i="76"/>
  <c r="BD95" i="75" s="1"/>
  <c r="F37" i="76"/>
  <c r="BB95" i="75" s="1"/>
  <c r="P685" i="76"/>
  <c r="T728" i="76"/>
  <c r="R1095" i="76"/>
  <c r="R1084" i="76" s="1"/>
  <c r="BK1199" i="76"/>
  <c r="P501" i="78"/>
  <c r="BK501" i="78"/>
  <c r="J501" i="78" s="1"/>
  <c r="J110" i="78" s="1"/>
  <c r="T266" i="78"/>
  <c r="R501" i="78"/>
  <c r="P902" i="78"/>
  <c r="T902" i="78"/>
  <c r="T1616" i="78"/>
  <c r="T1629" i="78"/>
  <c r="T1704" i="78"/>
  <c r="R307" i="78"/>
  <c r="BK478" i="78"/>
  <c r="J478" i="78" s="1"/>
  <c r="J108" i="78" s="1"/>
  <c r="R1643" i="78"/>
  <c r="T1643" i="78"/>
  <c r="P511" i="78"/>
  <c r="T295" i="78"/>
  <c r="R489" i="78"/>
  <c r="T511" i="78"/>
  <c r="BK740" i="78"/>
  <c r="J740" i="78" s="1"/>
  <c r="J114" i="78" s="1"/>
  <c r="BK1629" i="78"/>
  <c r="J1629" i="78" s="1"/>
  <c r="J117" i="78" s="1"/>
  <c r="R1870" i="78"/>
  <c r="BK171" i="78"/>
  <c r="J171" i="78" s="1"/>
  <c r="J99" i="78" s="1"/>
  <c r="R740" i="78"/>
  <c r="J142" i="78"/>
  <c r="T171" i="78"/>
  <c r="F35" i="78"/>
  <c r="AZ97" i="75" s="1"/>
  <c r="BK1616" i="78"/>
  <c r="J1616" i="78" s="1"/>
  <c r="J116" i="78" s="1"/>
  <c r="P266" i="78"/>
  <c r="BK266" i="78"/>
  <c r="J266" i="78" s="1"/>
  <c r="J103" i="78" s="1"/>
  <c r="BK295" i="78"/>
  <c r="J295" i="78" s="1"/>
  <c r="J105" i="78" s="1"/>
  <c r="P556" i="78"/>
  <c r="R1629" i="78"/>
  <c r="P1704" i="78"/>
  <c r="BK1704" i="78"/>
  <c r="J1704" i="78" s="1"/>
  <c r="J119" i="78" s="1"/>
  <c r="T272" i="78"/>
  <c r="F39" i="78"/>
  <c r="BD97" i="75" s="1"/>
  <c r="T556" i="78"/>
  <c r="R266" i="78"/>
  <c r="R295" i="78"/>
  <c r="T307" i="78"/>
  <c r="T489" i="78"/>
  <c r="P579" i="78"/>
  <c r="BK319" i="78"/>
  <c r="J319" i="78" s="1"/>
  <c r="J107" i="78" s="1"/>
  <c r="J91" i="78"/>
  <c r="R150" i="78"/>
  <c r="P1616" i="78"/>
  <c r="BK1870" i="78"/>
  <c r="J1870" i="78" s="1"/>
  <c r="J120" i="78" s="1"/>
  <c r="BK150" i="78"/>
  <c r="J150" i="78" s="1"/>
  <c r="J98" i="78" s="1"/>
  <c r="P171" i="78"/>
  <c r="R190" i="78"/>
  <c r="R272" i="78"/>
  <c r="BK511" i="78"/>
  <c r="J511" i="78" s="1"/>
  <c r="J111" i="78" s="1"/>
  <c r="T579" i="78"/>
  <c r="T319" i="78"/>
  <c r="P319" i="78"/>
  <c r="F36" i="76"/>
  <c r="BA95" i="75" s="1"/>
  <c r="J92" i="76"/>
  <c r="F38" i="77"/>
  <c r="BC96" i="75" s="1"/>
  <c r="T132" i="77"/>
  <c r="T131" i="77" s="1"/>
  <c r="P166" i="77"/>
  <c r="T264" i="77"/>
  <c r="R324" i="77"/>
  <c r="F37" i="78"/>
  <c r="BB97" i="75" s="1"/>
  <c r="J132" i="77"/>
  <c r="J98" i="77" s="1"/>
  <c r="BK131" i="77"/>
  <c r="F38" i="78"/>
  <c r="BC97" i="75" s="1"/>
  <c r="J36" i="78"/>
  <c r="AW97" i="75" s="1"/>
  <c r="J141" i="76"/>
  <c r="J36" i="77"/>
  <c r="AW96" i="75" s="1"/>
  <c r="F36" i="77"/>
  <c r="BA96" i="75" s="1"/>
  <c r="BK338" i="77"/>
  <c r="J338" i="77" s="1"/>
  <c r="J106" i="77" s="1"/>
  <c r="R685" i="76"/>
  <c r="R223" i="77"/>
  <c r="P1124" i="76"/>
  <c r="T176" i="77"/>
  <c r="T166" i="77" s="1"/>
  <c r="BK190" i="78"/>
  <c r="J190" i="78" s="1"/>
  <c r="J100" i="78" s="1"/>
  <c r="BK272" i="78"/>
  <c r="J272" i="78" s="1"/>
  <c r="J104" i="78" s="1"/>
  <c r="R319" i="78"/>
  <c r="F35" i="76"/>
  <c r="AZ95" i="75" s="1"/>
  <c r="R744" i="76"/>
  <c r="R894" i="76"/>
  <c r="T985" i="76"/>
  <c r="E85" i="77"/>
  <c r="E120" i="77"/>
  <c r="J35" i="77"/>
  <c r="AV96" i="75" s="1"/>
  <c r="BK176" i="77"/>
  <c r="P264" i="77"/>
  <c r="BK264" i="77"/>
  <c r="J264" i="77" s="1"/>
  <c r="J104" i="77" s="1"/>
  <c r="J35" i="78"/>
  <c r="AV97" i="75" s="1"/>
  <c r="P150" i="78"/>
  <c r="R171" i="78"/>
  <c r="P190" i="78"/>
  <c r="P272" i="78"/>
  <c r="BK307" i="78"/>
  <c r="J307" i="78" s="1"/>
  <c r="J106" i="78" s="1"/>
  <c r="P777" i="76"/>
  <c r="P132" i="77"/>
  <c r="P131" i="77" s="1"/>
  <c r="P176" i="77"/>
  <c r="F36" i="78"/>
  <c r="BA97" i="75" s="1"/>
  <c r="T150" i="78"/>
  <c r="T190" i="78"/>
  <c r="P307" i="78"/>
  <c r="J145" i="78"/>
  <c r="J35" i="79"/>
  <c r="AV98" i="75" s="1"/>
  <c r="J36" i="80"/>
  <c r="AW99" i="75" s="1"/>
  <c r="F39" i="80"/>
  <c r="BD99" i="75" s="1"/>
  <c r="P169" i="80"/>
  <c r="E138" i="78"/>
  <c r="P478" i="78"/>
  <c r="R902" i="78"/>
  <c r="R135" i="80"/>
  <c r="F35" i="77"/>
  <c r="AZ96" i="75" s="1"/>
  <c r="J91" i="77"/>
  <c r="T501" i="78"/>
  <c r="BK556" i="78"/>
  <c r="J556" i="78" s="1"/>
  <c r="J112" i="78" s="1"/>
  <c r="J35" i="80"/>
  <c r="AV99" i="75" s="1"/>
  <c r="F35" i="80"/>
  <c r="AZ99" i="75" s="1"/>
  <c r="T276" i="80"/>
  <c r="J35" i="81"/>
  <c r="AV100" i="75" s="1"/>
  <c r="J36" i="81"/>
  <c r="AW100" i="75" s="1"/>
  <c r="P740" i="78"/>
  <c r="P1870" i="78"/>
  <c r="F38" i="79"/>
  <c r="BC98" i="75" s="1"/>
  <c r="J36" i="79"/>
  <c r="AW98" i="75" s="1"/>
  <c r="R237" i="80"/>
  <c r="T260" i="80"/>
  <c r="R1704" i="78"/>
  <c r="P133" i="79"/>
  <c r="P132" i="79" s="1"/>
  <c r="AU98" i="75" s="1"/>
  <c r="J134" i="79"/>
  <c r="J98" i="79" s="1"/>
  <c r="BK133" i="79"/>
  <c r="F37" i="80"/>
  <c r="BB99" i="75" s="1"/>
  <c r="T478" i="78"/>
  <c r="R579" i="78"/>
  <c r="T740" i="78"/>
  <c r="P1643" i="78"/>
  <c r="BK1643" i="78"/>
  <c r="J1643" i="78" s="1"/>
  <c r="J118" i="78" s="1"/>
  <c r="T1870" i="78"/>
  <c r="R277" i="80"/>
  <c r="R276" i="80" s="1"/>
  <c r="J30" i="81"/>
  <c r="J32" i="81" s="1"/>
  <c r="J106" i="81"/>
  <c r="R511" i="78"/>
  <c r="T134" i="79"/>
  <c r="T133" i="79" s="1"/>
  <c r="T132" i="79" s="1"/>
  <c r="J204" i="79"/>
  <c r="J104" i="79" s="1"/>
  <c r="BK203" i="79"/>
  <c r="J203" i="79" s="1"/>
  <c r="J103" i="79" s="1"/>
  <c r="J91" i="80"/>
  <c r="F36" i="81"/>
  <c r="BA100" i="75" s="1"/>
  <c r="J92" i="81"/>
  <c r="J126" i="79"/>
  <c r="E85" i="81"/>
  <c r="F36" i="80"/>
  <c r="BA99" i="75" s="1"/>
  <c r="J92" i="80"/>
  <c r="J128" i="79"/>
  <c r="E85" i="80"/>
  <c r="J89" i="81"/>
  <c r="J1084" i="76" l="1"/>
  <c r="J112" i="76" s="1"/>
  <c r="R166" i="77"/>
  <c r="R130" i="77" s="1"/>
  <c r="P130" i="77"/>
  <c r="AU96" i="75" s="1"/>
  <c r="BK743" i="76"/>
  <c r="J1178" i="76"/>
  <c r="J117" i="76" s="1"/>
  <c r="J1139" i="76"/>
  <c r="J115" i="76" s="1"/>
  <c r="J1185" i="76"/>
  <c r="J118" i="76" s="1"/>
  <c r="J1199" i="76"/>
  <c r="J119" i="76" s="1"/>
  <c r="J744" i="76"/>
  <c r="J107" i="76" s="1"/>
  <c r="J1095" i="76"/>
  <c r="J113" i="76" s="1"/>
  <c r="J532" i="76"/>
  <c r="J102" i="76" s="1"/>
  <c r="J1158" i="76"/>
  <c r="J116" i="76" s="1"/>
  <c r="J736" i="76"/>
  <c r="J105" i="76" s="1"/>
  <c r="J219" i="76"/>
  <c r="J99" i="76" s="1"/>
  <c r="J104" i="76"/>
  <c r="R134" i="80"/>
  <c r="R133" i="80" s="1"/>
  <c r="T134" i="80"/>
  <c r="T133" i="80" s="1"/>
  <c r="P134" i="80"/>
  <c r="P133" i="80" s="1"/>
  <c r="AU99" i="75" s="1"/>
  <c r="J277" i="80"/>
  <c r="J104" i="80" s="1"/>
  <c r="P148" i="76"/>
  <c r="AT95" i="75"/>
  <c r="BK148" i="76"/>
  <c r="AT96" i="75"/>
  <c r="J98" i="76"/>
  <c r="T148" i="76"/>
  <c r="R148" i="76"/>
  <c r="R743" i="76"/>
  <c r="P743" i="76"/>
  <c r="BB94" i="75"/>
  <c r="W34" i="75" s="1"/>
  <c r="T743"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43"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H39" i="4" s="1"/>
  <c r="AN99" i="75"/>
  <c r="G42" i="4"/>
  <c r="AN97" i="75"/>
  <c r="F40" i="4"/>
  <c r="F1088" i="69"/>
  <c r="H1088" i="69" s="1"/>
  <c r="AG94" i="75" l="1"/>
  <c r="AN94" i="75" s="1"/>
  <c r="AN104" i="75" s="1"/>
  <c r="AN95" i="75"/>
  <c r="I42" i="4"/>
  <c r="H40" i="4"/>
  <c r="F258" i="59"/>
  <c r="H258" i="59" s="1"/>
  <c r="H147" i="43"/>
  <c r="AG104" i="75" l="1"/>
  <c r="AK26" i="75"/>
  <c r="AK29" i="75" s="1"/>
  <c r="AK38" i="75" s="1"/>
  <c r="F274" i="73"/>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3" i="4" s="1"/>
  <c r="I53"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1" i="4" s="1"/>
  <c r="H8" i="72" l="1"/>
  <c r="H251" i="72" s="1"/>
  <c r="H253" i="72" s="1"/>
  <c r="C9" i="70" s="1"/>
  <c r="C10" i="70" s="1"/>
  <c r="I51" i="4"/>
  <c r="F584" i="59"/>
  <c r="H584" i="59" s="1"/>
  <c r="F1469" i="69"/>
  <c r="H1469" i="69" s="1"/>
  <c r="F53" i="4" l="1"/>
  <c r="H53" i="4" s="1"/>
  <c r="F1508" i="69"/>
  <c r="H1508" i="69" s="1"/>
  <c r="H1507" i="69"/>
  <c r="F1503" i="69"/>
  <c r="H1503" i="69" s="1"/>
  <c r="F1493" i="69"/>
  <c r="F1491" i="69"/>
  <c r="F1489" i="69" s="1"/>
  <c r="H1489" i="69" s="1"/>
  <c r="F1486" i="69"/>
  <c r="I1486" i="69" s="1"/>
  <c r="I1460" i="69" s="1"/>
  <c r="I7" i="69" s="1"/>
  <c r="I1511" i="69" s="1"/>
  <c r="I1514" i="69" s="1"/>
  <c r="G47" i="4" s="1"/>
  <c r="I47"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7" i="4" s="1"/>
  <c r="H47"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6" i="4" s="1"/>
  <c r="I56"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8" i="4" s="1"/>
  <c r="I48"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8" i="4" s="1"/>
  <c r="H48"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2" i="4" s="1"/>
  <c r="H52"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1" i="4" s="1"/>
  <c r="H51"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9" i="4" s="1"/>
  <c r="H49"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6" i="4" s="1"/>
  <c r="H46"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5"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5"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5" i="4" s="1"/>
  <c r="H45"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4" i="4" s="1"/>
  <c r="I54"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5"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5"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7" i="4" s="1"/>
  <c r="H57"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8" i="4" s="1"/>
  <c r="I58"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9"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9"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0"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0"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1"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1"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3"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3"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4" i="4" s="1"/>
  <c r="H64"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5"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5"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6" i="4" s="1"/>
  <c r="H93" i="16"/>
  <c r="F27" i="9"/>
  <c r="F67" i="4" s="1"/>
  <c r="H67" i="4" l="1"/>
  <c r="I21" i="4"/>
  <c r="I66" i="4"/>
  <c r="I22" i="4" l="1"/>
  <c r="I23" i="4" s="1"/>
  <c r="I36" i="4"/>
  <c r="I69" i="4" s="1"/>
  <c r="I24" i="4"/>
  <c r="I25" i="4" l="1"/>
  <c r="I26" i="4" s="1"/>
  <c r="I28" i="4" s="1"/>
  <c r="I27" i="4"/>
</calcChain>
</file>

<file path=xl/sharedStrings.xml><?xml version="1.0" encoding="utf-8"?>
<sst xmlns="http://schemas.openxmlformats.org/spreadsheetml/2006/main" count="59719" uniqueCount="12200">
  <si>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</si>
  <si>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</si>
  <si>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</si>
  <si>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</si>
  <si>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</si>
  <si>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</si>
  <si>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</si>
  <si>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</si>
  <si>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</si>
  <si>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</si>
  <si>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</si>
  <si>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</si>
  <si>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</si>
  <si>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</si>
  <si>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</si>
  <si>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</si>
  <si>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</si>
  <si>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</si>
  <si>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</si>
  <si>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</si>
  <si>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</si>
  <si>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</si>
  <si>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</si>
  <si>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</si>
  <si>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</si>
  <si>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</si>
  <si>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</si>
  <si>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</si>
  <si>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</si>
  <si>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</si>
  <si>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</si>
  <si>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</si>
  <si>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</si>
  <si>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</si>
  <si>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</si>
  <si>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</si>
  <si>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</si>
  <si>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</si>
  <si>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</si>
  <si>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</si>
  <si>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</si>
  <si>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</si>
  <si>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</si>
  <si>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</si>
  <si>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</si>
  <si>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</si>
  <si>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</si>
  <si>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</si>
  <si>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</si>
  <si>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</si>
  <si>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</si>
  <si>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</si>
  <si>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</si>
  <si>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</si>
  <si>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</si>
  <si>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</si>
  <si>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</si>
  <si>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</si>
  <si>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</si>
  <si>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</si>
  <si>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</si>
  <si>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</si>
  <si>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</si>
  <si>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</si>
  <si>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</si>
  <si>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</si>
  <si>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</si>
  <si>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</si>
  <si>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</si>
  <si>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</si>
  <si>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</si>
  <si>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</si>
  <si>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</si>
  <si>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</si>
  <si>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</si>
  <si>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</si>
  <si>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</si>
  <si>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</si>
  <si>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</si>
  <si>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</si>
  <si>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</si>
  <si>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</si>
  <si>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</si>
  <si>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</si>
  <si>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</si>
  <si>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</si>
  <si>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</si>
  <si>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</si>
  <si>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</si>
  <si>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</si>
  <si>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</si>
  <si>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</si>
  <si>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</si>
  <si>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</si>
  <si>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</si>
  <si>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</si>
  <si>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</si>
  <si>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</si>
  <si>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</si>
  <si>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</si>
  <si>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</si>
  <si>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</si>
  <si>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</si>
  <si>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</si>
  <si>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</si>
  <si>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</si>
  <si>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</si>
  <si>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</si>
  <si>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</si>
  <si>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</si>
  <si>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</si>
  <si>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</si>
  <si>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</si>
  <si>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</si>
  <si>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</si>
  <si>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</si>
  <si>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</si>
  <si>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</si>
  <si>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</si>
  <si>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</si>
  <si>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</si>
  <si>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</si>
  <si>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</si>
  <si>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</si>
  <si>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</si>
  <si>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</si>
  <si>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</si>
  <si>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</si>
  <si>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</si>
  <si>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</si>
  <si>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</si>
  <si>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</si>
  <si>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</si>
  <si>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</si>
  <si>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</si>
  <si>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</si>
  <si>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</si>
  <si>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</si>
  <si>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</si>
  <si>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</si>
  <si>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</si>
  <si>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</si>
  <si>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</si>
  <si>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</si>
  <si>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</si>
  <si>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</si>
  <si>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</si>
  <si>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</si>
  <si>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</si>
  <si>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</si>
  <si>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</si>
  <si>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</si>
  <si>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</si>
  <si>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</si>
  <si>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</si>
  <si>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</si>
  <si>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</si>
  <si>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</si>
  <si>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</si>
  <si>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</si>
  <si>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</si>
  <si>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</si>
  <si>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</si>
  <si>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</si>
  <si>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</si>
  <si>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</si>
  <si>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</si>
  <si>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</si>
  <si>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</si>
  <si>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</si>
  <si>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</si>
  <si>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</si>
  <si>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</si>
  <si>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</si>
  <si>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</si>
  <si>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</si>
  <si>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</si>
  <si>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</si>
  <si>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</si>
  <si>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</si>
  <si>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</si>
  <si>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</si>
  <si>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</si>
  <si>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</si>
  <si>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</si>
  <si>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</si>
  <si>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</si>
  <si>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</si>
  <si>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</si>
  <si>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</si>
  <si>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</si>
  <si>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</si>
  <si>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</si>
  <si>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</si>
  <si>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</si>
  <si>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</si>
  <si>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</si>
  <si>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</si>
  <si>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</si>
  <si>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</si>
  <si>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</si>
  <si>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</si>
  <si>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</si>
  <si>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</si>
  <si>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</si>
  <si>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</si>
  <si>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</si>
  <si>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</si>
  <si>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</si>
  <si>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</si>
  <si>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</si>
  <si>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</si>
  <si>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</si>
  <si>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</si>
  <si>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</si>
  <si>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</si>
  <si>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</si>
  <si>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</si>
  <si>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</si>
  <si>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</si>
  <si>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</si>
  <si>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</si>
  <si>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</si>
  <si>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</si>
  <si>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</si>
  <si>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</si>
  <si>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</si>
  <si>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</si>
  <si>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</si>
  <si>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</si>
  <si>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</si>
  <si>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</si>
  <si>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</si>
  <si>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</si>
  <si>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</si>
  <si>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</si>
  <si>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</si>
  <si>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</si>
  <si>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</si>
  <si>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</si>
  <si>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</si>
  <si>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</si>
  <si>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</si>
  <si>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</si>
  <si>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</si>
  <si>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</si>
  <si>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</si>
  <si>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</si>
  <si>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</si>
  <si>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</si>
  <si>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</si>
  <si>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</si>
  <si>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</si>
  <si>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</si>
  <si>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</si>
  <si>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</si>
  <si>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</si>
  <si>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</si>
  <si>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</si>
  <si>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</si>
  <si>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</si>
  <si>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</si>
  <si>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</si>
  <si>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</si>
  <si>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</si>
  <si>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</si>
  <si>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</si>
  <si>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</si>
  <si>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</si>
  <si>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</si>
  <si>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</si>
  <si>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</si>
  <si>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</si>
  <si>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</si>
  <si>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</si>
  <si>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</si>
  <si>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</si>
  <si>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</si>
  <si>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</si>
  <si>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</si>
  <si>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</si>
  <si>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</si>
  <si>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</si>
  <si>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</si>
  <si>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</si>
  <si>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</si>
  <si>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</si>
  <si>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</si>
  <si>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</si>
  <si>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</si>
  <si>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</si>
  <si>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</si>
  <si>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</si>
  <si>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</si>
  <si>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</si>
  <si>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</si>
  <si>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</si>
  <si>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</si>
  <si>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</si>
  <si>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</si>
  <si>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</si>
  <si>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</si>
  <si>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</si>
  <si>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</si>
  <si>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</si>
  <si>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</si>
  <si>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</si>
  <si>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</si>
  <si>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</si>
  <si>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</si>
  <si>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</si>
  <si>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</si>
  <si>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</si>
  <si>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</si>
  <si>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</si>
  <si>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</si>
  <si>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</si>
  <si>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</si>
  <si>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</si>
  <si>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</si>
  <si>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</si>
  <si>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</si>
  <si>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</si>
  <si>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</si>
  <si>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</si>
  <si>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</si>
  <si>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</si>
  <si>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</si>
  <si>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</si>
  <si>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</si>
  <si>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</si>
  <si>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</si>
  <si>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</si>
  <si>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</si>
  <si>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</si>
  <si>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</si>
  <si>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</si>
  <si>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</si>
  <si>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</si>
  <si>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</si>
  <si>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</si>
  <si>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</si>
  <si>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</si>
  <si>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</si>
  <si>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</si>
  <si>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</si>
  <si>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</si>
  <si>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</si>
  <si>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</si>
  <si>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</si>
  <si>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</si>
  <si>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</si>
  <si>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</si>
  <si>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</si>
  <si>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</si>
  <si>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</si>
  <si>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</si>
  <si>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</si>
  <si>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</si>
  <si>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</si>
  <si>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</si>
  <si>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</si>
  <si>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</si>
  <si>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</si>
  <si>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</si>
  <si>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</si>
  <si>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</si>
  <si>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</si>
  <si>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</si>
  <si>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</si>
  <si>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</si>
  <si>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</si>
  <si>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</si>
  <si>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</si>
  <si>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</si>
  <si>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</si>
  <si>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</si>
  <si>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</si>
  <si>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</si>
  <si>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</si>
  <si>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</si>
  <si>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</si>
  <si>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</si>
  <si>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</si>
  <si>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</si>
  <si>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</si>
  <si>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</si>
  <si>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</si>
  <si>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</si>
  <si>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</si>
  <si>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</si>
  <si>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</si>
  <si>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</si>
  <si>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</si>
  <si>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</si>
  <si>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</si>
  <si>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</si>
  <si>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</si>
  <si>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</si>
  <si>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</si>
  <si>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</si>
  <si>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</si>
  <si>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</si>
  <si>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</si>
  <si>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</si>
  <si>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</si>
  <si>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</si>
  <si>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</si>
  <si>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</si>
  <si>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</si>
  <si>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</si>
  <si>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</si>
  <si>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</si>
  <si>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</si>
  <si>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</si>
  <si>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</si>
  <si>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</si>
  <si>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</si>
  <si>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</si>
  <si>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</si>
  <si>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</si>
  <si>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</si>
  <si>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</si>
  <si>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</si>
  <si>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</si>
  <si>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</si>
  <si>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</si>
  <si>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</si>
  <si>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</si>
  <si>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</si>
  <si>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</si>
  <si>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</si>
  <si>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</si>
  <si>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</si>
  <si>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</si>
  <si>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</si>
  <si>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</si>
  <si>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</si>
  <si>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</si>
  <si>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</si>
  <si>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</si>
  <si>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</si>
  <si>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</si>
  <si>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</si>
  <si>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</si>
  <si>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</si>
  <si>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</si>
  <si>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</si>
  <si>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</si>
  <si>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</si>
  <si>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</si>
  <si>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</si>
  <si>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</si>
  <si>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</si>
  <si>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</si>
  <si>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</si>
  <si>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</si>
  <si>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</si>
  <si>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</si>
  <si>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</si>
  <si>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</si>
  <si>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</si>
  <si>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</si>
  <si>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</si>
  <si>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</si>
  <si>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</si>
  <si>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</si>
  <si>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</si>
  <si>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</si>
  <si>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</si>
  <si>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</si>
  <si>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</si>
  <si>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</si>
  <si>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</si>
  <si>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</si>
  <si>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</si>
  <si>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</si>
  <si>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</si>
  <si>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</si>
  <si>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</si>
  <si>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</si>
  <si>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</si>
  <si>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</si>
  <si>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</si>
  <si>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</si>
  <si>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</si>
  <si>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</si>
  <si>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</si>
  <si>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</si>
  <si>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</si>
  <si>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</si>
  <si>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</si>
  <si>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</si>
  <si>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</si>
  <si>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</si>
  <si>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</si>
  <si>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</si>
  <si>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</si>
  <si>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</si>
  <si>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</si>
  <si>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</si>
  <si>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</si>
  <si>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</si>
  <si>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</si>
  <si>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</si>
  <si>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</si>
  <si>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</si>
  <si>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</si>
  <si>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</si>
  <si>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</si>
  <si>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</si>
  <si>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</si>
  <si>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</si>
  <si>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</si>
  <si>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</si>
  <si>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</si>
  <si>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</si>
  <si>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</si>
  <si>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</si>
  <si>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</si>
  <si>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</si>
  <si>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</si>
  <si>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</si>
  <si>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</si>
  <si>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</si>
  <si>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</si>
  <si>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</si>
  <si>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</si>
  <si>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</si>
  <si>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</si>
  <si>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</si>
  <si>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</si>
  <si>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</si>
  <si>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</si>
  <si>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</si>
  <si>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</si>
  <si>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</si>
  <si>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</si>
  <si>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</si>
  <si>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</si>
  <si>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</si>
  <si>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</si>
  <si>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</si>
  <si>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</si>
  <si>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</si>
  <si>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</si>
  <si>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</si>
  <si>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</si>
  <si>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</si>
  <si>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</si>
  <si>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</si>
  <si>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</si>
  <si>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</si>
  <si>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</si>
  <si>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</si>
  <si>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</si>
  <si>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</si>
  <si>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</si>
  <si>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</si>
  <si>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</si>
  <si>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</si>
  <si>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</si>
  <si>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</si>
  <si>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</si>
  <si>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</si>
  <si>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</si>
  <si>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</si>
  <si>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</si>
  <si>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</si>
  <si>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</si>
  <si>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</si>
  <si>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</si>
  <si>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</si>
  <si>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</si>
  <si>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</si>
  <si>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</si>
  <si>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</si>
  <si>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</si>
  <si>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</si>
  <si>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</si>
  <si>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</si>
  <si>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</si>
  <si>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</si>
  <si>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</si>
  <si>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</si>
  <si>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</si>
  <si>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</si>
  <si>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</si>
  <si>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</si>
  <si>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</si>
  <si>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</si>
  <si>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</si>
  <si>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</si>
  <si>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</si>
  <si>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</si>
  <si>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</si>
  <si>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</si>
  <si>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</si>
  <si>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</si>
  <si>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</si>
  <si>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</si>
  <si>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</si>
  <si>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</si>
  <si>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</si>
  <si>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</si>
  <si>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</si>
  <si>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</si>
  <si>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</si>
  <si>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</si>
  <si>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</si>
  <si>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</si>
  <si>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</si>
  <si>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</si>
  <si>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</si>
  <si>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</si>
  <si>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</si>
  <si>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</si>
  <si>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</si>
  <si>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</si>
  <si>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</si>
  <si>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</si>
  <si>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</si>
  <si>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</si>
  <si>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</si>
  <si>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</si>
  <si>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</si>
  <si>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</si>
  <si>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</si>
  <si>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</si>
  <si>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</si>
  <si>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</si>
  <si>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</si>
  <si>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</si>
  <si>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</si>
  <si>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</si>
  <si>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</si>
  <si>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</si>
  <si>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</si>
  <si>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</si>
  <si>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</si>
  <si>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</si>
  <si>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</si>
  <si>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</si>
  <si>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</si>
  <si>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</si>
  <si>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</si>
  <si>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</si>
  <si>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</si>
  <si>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</si>
  <si>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</si>
  <si>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</si>
  <si>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</si>
  <si>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</si>
  <si>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</si>
  <si>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</si>
  <si>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</si>
  <si>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</si>
  <si>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</si>
  <si>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</si>
  <si>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</si>
  <si>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</si>
  <si>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</si>
  <si>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</si>
  <si>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</si>
  <si>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</si>
  <si>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</si>
  <si>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</si>
  <si>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</si>
  <si>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</si>
  <si>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</si>
  <si>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</si>
  <si>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</si>
  <si>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</si>
  <si>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</si>
  <si>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</si>
  <si>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</si>
  <si>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</si>
  <si>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</si>
  <si>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</si>
  <si>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</si>
  <si>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</si>
  <si>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</si>
  <si>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</si>
  <si>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</si>
  <si>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</si>
  <si>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</si>
  <si>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</si>
  <si>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</si>
  <si>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</si>
  <si>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</si>
  <si>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</si>
  <si>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</si>
  <si>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</si>
  <si>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</si>
  <si>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</si>
  <si>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</si>
  <si>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</si>
  <si>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</si>
  <si>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</si>
  <si>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</si>
  <si>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</si>
  <si>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</si>
  <si>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</si>
  <si>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</si>
  <si>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</si>
  <si>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</si>
  <si>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</si>
  <si>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</si>
  <si>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</si>
  <si>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</si>
  <si>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</si>
  <si>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</si>
  <si>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</si>
  <si>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</si>
  <si>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</si>
  <si>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</si>
  <si>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</si>
  <si>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</si>
  <si>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</si>
  <si>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</si>
  <si>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</si>
  <si>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</si>
  <si>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</si>
  <si>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</si>
  <si>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</si>
  <si>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</si>
  <si>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</si>
  <si>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</si>
  <si>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</si>
  <si>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</si>
  <si>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</si>
  <si>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</si>
  <si>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</si>
  <si>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</si>
  <si>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</si>
  <si>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</si>
  <si>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</si>
  <si>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</si>
  <si>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</si>
  <si>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</si>
  <si>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</si>
  <si>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</si>
  <si>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</si>
  <si>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</si>
  <si>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</si>
  <si>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</si>
  <si>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</si>
  <si>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</si>
  <si>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</si>
  <si>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</si>
  <si>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</si>
  <si>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</si>
  <si>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</si>
  <si>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</si>
  <si>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</si>
  <si>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</si>
  <si>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</si>
  <si>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</si>
  <si>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</si>
  <si>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</si>
  <si>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</si>
  <si>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</si>
  <si>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</si>
  <si>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</si>
  <si>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</si>
  <si>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</si>
  <si>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</si>
  <si>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</si>
  <si>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</si>
  <si>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</si>
  <si>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</si>
  <si>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</si>
  <si>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</si>
  <si>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</si>
  <si>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</si>
  <si>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</si>
  <si>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</si>
  <si>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</si>
  <si>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</si>
  <si>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</si>
  <si>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</si>
  <si>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</si>
  <si>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</si>
  <si>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</si>
  <si>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</si>
  <si>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</si>
  <si>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</si>
  <si>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</si>
  <si>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</si>
  <si>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</si>
  <si>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</si>
  <si>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</si>
  <si>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</si>
  <si>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</si>
  <si>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</si>
  <si>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</si>
  <si>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</si>
  <si>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</si>
  <si>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</si>
  <si>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</si>
  <si>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</si>
  <si>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</si>
  <si>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</si>
  <si>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</si>
  <si>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</si>
  <si>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</si>
  <si>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</si>
  <si>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</si>
  <si>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</si>
  <si>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</si>
  <si>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</si>
  <si>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</si>
  <si>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</si>
  <si>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</si>
  <si>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</si>
  <si>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</si>
  <si>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</si>
  <si>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</si>
  <si>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</si>
  <si>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</si>
  <si>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</si>
  <si>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</si>
  <si>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</si>
  <si>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</si>
  <si>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</si>
  <si>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</si>
  <si>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</si>
  <si>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</si>
  <si>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</si>
  <si>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</si>
  <si>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</si>
  <si>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</si>
  <si>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</si>
  <si>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</si>
  <si>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</si>
  <si>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</si>
  <si>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</si>
  <si>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</si>
  <si>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</si>
  <si>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</si>
  <si>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</si>
  <si>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</si>
  <si>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</si>
  <si>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</si>
  <si>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</si>
  <si>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</si>
  <si>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</si>
  <si>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</si>
  <si>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</si>
  <si>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</si>
  <si>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</si>
  <si>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</si>
  <si>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</si>
  <si>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</si>
  <si>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</si>
  <si>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</si>
  <si>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</si>
  <si>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</si>
  <si>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</si>
  <si>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</si>
  <si>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</si>
  <si>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</si>
  <si>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</si>
  <si>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</si>
  <si>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</si>
  <si>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</si>
  <si>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</si>
  <si>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</si>
  <si>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</si>
  <si>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</si>
  <si>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</si>
  <si>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</si>
  <si>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</si>
  <si>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</si>
  <si>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</si>
  <si>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</si>
  <si>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</si>
  <si>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</si>
  <si>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</si>
  <si>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</si>
  <si>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</si>
  <si>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</si>
  <si>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</si>
  <si>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</si>
  <si>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</si>
  <si>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</si>
  <si>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</si>
  <si>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</si>
  <si>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</si>
  <si>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</si>
  <si>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</si>
  <si>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</si>
  <si>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</si>
  <si>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</si>
  <si>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</si>
  <si>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</si>
  <si>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</si>
  <si>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</si>
  <si>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</si>
  <si>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</si>
  <si>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</si>
  <si>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</si>
  <si>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</si>
  <si>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</si>
  <si>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</si>
  <si>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</si>
  <si>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</si>
  <si>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</si>
  <si>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</si>
  <si>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</si>
  <si>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</si>
  <si>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</si>
  <si>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</si>
  <si>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</si>
  <si>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</si>
  <si>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</si>
  <si>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</si>
  <si>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</si>
  <si>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</si>
  <si>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</si>
  <si>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</si>
  <si>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</si>
  <si>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</si>
  <si>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</si>
  <si>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</si>
  <si>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</si>
  <si>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</si>
  <si>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</si>
  <si>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</si>
  <si>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</si>
  <si>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</si>
  <si>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</si>
  <si>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</si>
  <si>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</si>
  <si>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</si>
  <si>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</si>
  <si>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</si>
  <si>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</si>
  <si>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</si>
  <si>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</si>
  <si>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</si>
  <si>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</si>
  <si>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</si>
  <si>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</si>
  <si>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</si>
  <si>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</si>
  <si>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</si>
  <si>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</si>
  <si>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</si>
  <si>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</si>
  <si>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</si>
  <si>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</si>
  <si>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</si>
  <si>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</si>
  <si>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</si>
  <si>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</si>
  <si>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</si>
  <si>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</si>
  <si>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</si>
  <si>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</si>
  <si>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</si>
  <si>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</si>
  <si>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</si>
  <si>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</si>
  <si>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</si>
  <si>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</si>
  <si>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</si>
  <si>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</si>
  <si>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</si>
  <si>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</si>
  <si>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</si>
  <si>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</si>
  <si>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</si>
  <si>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</si>
  <si>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</si>
  <si>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</si>
  <si>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</si>
  <si>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</si>
  <si>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</si>
  <si>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</si>
  <si>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</si>
  <si>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</si>
  <si>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</si>
  <si>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</si>
  <si>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</si>
  <si>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</si>
  <si>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</si>
  <si>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</si>
  <si>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</si>
  <si>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</si>
  <si>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</si>
  <si>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</si>
  <si>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</si>
  <si>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</si>
  <si>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</si>
  <si>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</si>
  <si>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</si>
  <si>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</si>
  <si>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</si>
  <si>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</si>
  <si>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</si>
  <si>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</si>
  <si>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</si>
  <si>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</si>
  <si>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</si>
  <si>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</si>
  <si>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</si>
  <si>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</si>
  <si>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</si>
  <si>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</si>
  <si>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</si>
  <si>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</si>
  <si>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</si>
  <si>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</si>
  <si>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</si>
  <si>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</si>
  <si>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</si>
  <si>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</si>
  <si>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</si>
  <si>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</si>
  <si>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</si>
  <si>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</si>
  <si>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</si>
  <si>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</si>
  <si>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</si>
  <si>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</si>
  <si>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</si>
  <si>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</si>
  <si>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</si>
  <si>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</si>
  <si>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</si>
  <si>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</si>
  <si>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</si>
  <si>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</si>
  <si>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</si>
  <si>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</si>
  <si>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</si>
  <si>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</si>
  <si>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</si>
  <si>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</si>
  <si>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</si>
  <si>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</si>
  <si>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</si>
  <si>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</si>
  <si>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</si>
  <si>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</si>
  <si>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</si>
  <si>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</si>
  <si>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</si>
  <si>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</si>
  <si>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</si>
  <si>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</si>
  <si>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</si>
  <si>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</si>
  <si>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</si>
  <si>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</si>
  <si>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</si>
  <si>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</si>
  <si>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</si>
  <si>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</si>
  <si>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</si>
  <si>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</si>
  <si>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</si>
  <si>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</si>
  <si>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</si>
  <si>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</si>
  <si>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</si>
  <si>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</si>
  <si>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</si>
  <si>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</si>
  <si>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</si>
  <si>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</si>
  <si>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</si>
  <si>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</si>
  <si>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</si>
  <si>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</si>
  <si>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</si>
  <si>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</si>
  <si>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</si>
  <si>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</si>
  <si>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</si>
  <si>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</si>
  <si>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</si>
  <si>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</si>
  <si>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</si>
  <si>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</si>
  <si>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</si>
  <si>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</si>
  <si>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</si>
  <si>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</si>
  <si>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</si>
  <si>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</si>
  <si>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</si>
  <si>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</si>
  <si>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</si>
  <si>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</si>
  <si>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</si>
  <si>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</si>
  <si>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</si>
  <si>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</si>
  <si>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</si>
  <si>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</si>
  <si>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</si>
  <si>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</si>
  <si>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</si>
  <si>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</si>
  <si>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</si>
  <si>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</si>
  <si>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</si>
  <si>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</si>
  <si>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</si>
  <si>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</si>
  <si>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</si>
  <si>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</si>
  <si>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</si>
  <si>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</si>
  <si>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</si>
  <si>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</si>
  <si>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</si>
  <si>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</si>
  <si>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</si>
  <si>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</si>
  <si>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</si>
  <si>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</si>
  <si>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</si>
  <si>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</si>
  <si>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</si>
  <si>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</si>
  <si>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</si>
  <si>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</si>
  <si>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</si>
  <si>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</si>
  <si>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</si>
  <si>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</si>
  <si>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</si>
  <si>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</si>
  <si>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</si>
  <si>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</si>
  <si>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</si>
  <si>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</si>
  <si>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</si>
  <si>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</si>
  <si>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</si>
  <si>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</si>
  <si>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</si>
  <si>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</si>
  <si>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</si>
  <si>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</si>
  <si>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</si>
  <si>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</si>
  <si>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</si>
  <si>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</si>
  <si>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</si>
  <si>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</si>
  <si>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</si>
  <si>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</si>
  <si>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</si>
  <si>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</si>
  <si>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</si>
  <si>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</si>
  <si>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</si>
  <si>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</si>
  <si>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</si>
  <si>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</si>
  <si>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</si>
  <si>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</si>
  <si>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</si>
  <si>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</si>
  <si>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</si>
  <si>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</si>
  <si>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</si>
  <si>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</si>
  <si>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</si>
  <si>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</si>
  <si>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</si>
  <si>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</si>
  <si>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</si>
  <si>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</si>
  <si>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</si>
  <si>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</si>
  <si>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</si>
  <si>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</si>
  <si>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</si>
  <si>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</si>
  <si>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</si>
  <si>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</si>
  <si>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</si>
  <si>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</si>
  <si>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</si>
  <si>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</si>
  <si>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</si>
  <si>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</si>
  <si>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</si>
  <si>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</si>
  <si>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</si>
  <si>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</si>
  <si>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</si>
  <si>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</si>
  <si>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</si>
  <si>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</si>
  <si>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</si>
  <si>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</si>
  <si>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</si>
  <si>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</si>
  <si>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</si>
  <si>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</si>
  <si>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</si>
  <si>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</si>
  <si>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</si>
  <si>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</si>
  <si>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</si>
  <si>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</si>
  <si>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</si>
  <si>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</si>
  <si>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</si>
  <si>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</si>
  <si>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</si>
  <si>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</si>
  <si>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</si>
  <si>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</si>
  <si>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</si>
  <si>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</si>
  <si>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</si>
  <si>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</si>
  <si>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</si>
  <si>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</si>
  <si>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</si>
  <si>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</si>
  <si>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</si>
  <si>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</si>
  <si>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</si>
  <si>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</si>
  <si>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</si>
  <si>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</si>
  <si>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</si>
  <si>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</si>
  <si>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</si>
  <si>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</si>
  <si>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</si>
  <si>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</si>
  <si>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</si>
  <si>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</si>
  <si>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</si>
  <si>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</si>
  <si>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</si>
  <si>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</si>
  <si>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</si>
  <si>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</si>
  <si>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</si>
  <si>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</si>
  <si>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</si>
  <si>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</si>
  <si>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</si>
  <si>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</si>
  <si>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</si>
  <si>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</si>
  <si>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</si>
  <si>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</si>
  <si>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</si>
  <si>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</si>
  <si>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</si>
  <si>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</si>
  <si>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</si>
  <si>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</si>
  <si>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</si>
  <si>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</si>
  <si>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</si>
  <si>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</si>
  <si>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</si>
  <si>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</si>
  <si>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</si>
  <si>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</si>
  <si>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</si>
  <si>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</si>
  <si>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</si>
  <si>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</si>
  <si>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</si>
  <si>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</si>
  <si>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</si>
  <si>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</si>
  <si>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</si>
  <si>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</si>
  <si>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</si>
  <si>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</si>
  <si>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</si>
  <si>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</si>
  <si>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</si>
  <si>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</si>
  <si>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</si>
  <si>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</si>
  <si>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</si>
  <si>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</si>
  <si>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</si>
  <si>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</si>
  <si>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</si>
  <si>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</si>
  <si>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</si>
  <si>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</si>
  <si>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</si>
  <si>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</si>
  <si>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</si>
  <si>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</si>
  <si>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</si>
  <si>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</si>
  <si>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</si>
  <si>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</si>
  <si>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</si>
  <si>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</si>
  <si>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</si>
  <si>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</si>
  <si>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</si>
  <si>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</si>
  <si>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</si>
  <si>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</si>
  <si>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</si>
  <si>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</si>
  <si>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</si>
  <si>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</si>
  <si>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</si>
  <si>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</si>
  <si>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</si>
  <si>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</si>
  <si>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</si>
  <si>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</si>
  <si>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</si>
  <si>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</si>
  <si>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</si>
  <si>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</si>
  <si>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</si>
  <si>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</si>
  <si>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</si>
  <si>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</si>
  <si>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</si>
  <si>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</si>
  <si>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</si>
  <si>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</si>
  <si>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</si>
  <si>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</si>
  <si>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</si>
  <si>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</si>
  <si>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</si>
  <si>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</si>
  <si>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</si>
  <si>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</si>
  <si>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</si>
  <si>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</si>
  <si>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</si>
  <si>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</si>
  <si>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</si>
  <si>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</si>
  <si>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</si>
  <si>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</si>
  <si>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</si>
  <si>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</si>
  <si>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</si>
  <si>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</si>
  <si>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</si>
  <si>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</si>
  <si>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</si>
  <si>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</si>
  <si>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</si>
  <si>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</si>
  <si>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</si>
  <si>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</si>
  <si>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</si>
  <si>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</si>
  <si>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</si>
  <si>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</si>
  <si>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</si>
  <si>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</si>
  <si>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</si>
  <si>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</si>
  <si>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</si>
  <si>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</si>
  <si>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</si>
  <si>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</si>
  <si>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</si>
  <si>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</si>
  <si>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</si>
  <si>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</si>
  <si>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</si>
  <si>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</si>
  <si>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</si>
  <si>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</si>
  <si>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</si>
  <si>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</si>
  <si>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</si>
  <si>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</si>
  <si>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</si>
  <si>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</si>
  <si>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</si>
  <si>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</si>
  <si>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</si>
  <si>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</si>
  <si>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</si>
  <si>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</si>
  <si>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</si>
  <si>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</si>
  <si>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</si>
  <si>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</si>
  <si>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</si>
  <si>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</si>
  <si>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</si>
  <si>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</si>
  <si>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</si>
  <si>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</si>
  <si>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</si>
  <si>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</si>
  <si>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</si>
  <si>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</si>
  <si>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</si>
  <si>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</si>
  <si>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</si>
  <si>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</si>
  <si>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</si>
  <si>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</si>
  <si>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</si>
  <si>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</si>
  <si>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</si>
  <si>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</si>
  <si>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</si>
  <si>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</si>
  <si>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</si>
  <si>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</si>
  <si>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</si>
  <si>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</si>
  <si>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</si>
  <si>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</si>
  <si>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</si>
  <si>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</si>
  <si>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</si>
  <si>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</si>
  <si>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</si>
  <si>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</si>
  <si>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</si>
  <si>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</si>
  <si>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</si>
  <si>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</si>
  <si>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</si>
  <si>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</si>
  <si>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</si>
  <si>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</si>
  <si>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</si>
  <si>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</si>
  <si>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</si>
  <si>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</si>
  <si>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</si>
  <si>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</si>
  <si>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</si>
  <si>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</si>
  <si>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</si>
  <si>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</si>
  <si>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</si>
  <si>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</si>
  <si>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</si>
  <si>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</si>
  <si>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</si>
  <si>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</si>
  <si>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</si>
  <si>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</si>
  <si>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</si>
  <si>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</si>
  <si>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</si>
  <si>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</si>
  <si>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</si>
  <si>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</si>
  <si>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</si>
  <si>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</si>
  <si>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</si>
  <si>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</si>
  <si>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</si>
  <si>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</si>
  <si>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</si>
  <si>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</si>
  <si>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</si>
  <si>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</si>
  <si>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</si>
  <si>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</si>
  <si>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</si>
  <si>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</si>
  <si>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</si>
  <si>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</si>
  <si>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</si>
  <si>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</si>
  <si>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</si>
  <si>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</si>
  <si>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</si>
  <si>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</si>
  <si>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</si>
  <si>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</si>
  <si>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</si>
  <si>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</si>
  <si>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</si>
  <si>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</si>
  <si>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</si>
  <si>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</si>
  <si>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</si>
  <si>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</si>
  <si>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</si>
  <si>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</si>
  <si>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</si>
  <si>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</si>
  <si>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</si>
  <si>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</si>
  <si>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</si>
  <si>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</si>
  <si>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</si>
  <si>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</si>
  <si>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</si>
  <si>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</si>
  <si>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</si>
  <si>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</si>
  <si>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</si>
  <si>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</si>
  <si>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</si>
  <si>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</si>
  <si>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</si>
  <si>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</si>
  <si>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</si>
  <si>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</si>
  <si>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</si>
  <si>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</si>
  <si>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</si>
  <si>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</si>
  <si>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</si>
  <si>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</si>
  <si>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</si>
  <si>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</si>
  <si>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</si>
  <si>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</si>
  <si>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</si>
  <si>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</si>
  <si>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</si>
  <si>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</si>
  <si>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</si>
  <si>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</si>
  <si>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</si>
  <si>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</si>
  <si>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</si>
  <si>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</si>
  <si>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</si>
  <si>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</si>
  <si>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</si>
  <si>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</si>
  <si>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</si>
  <si>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</si>
  <si>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</si>
  <si>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</si>
  <si>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</si>
  <si>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</si>
  <si>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</si>
  <si>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</si>
  <si>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</si>
  <si>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</si>
  <si>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</si>
  <si>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</si>
  <si>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</si>
  <si>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</si>
  <si>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</si>
  <si>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</si>
  <si>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</si>
  <si>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</si>
  <si>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</si>
  <si>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</si>
  <si>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</si>
  <si>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</si>
  <si>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</si>
  <si>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</si>
  <si>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</si>
  <si>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</si>
  <si>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</si>
  <si>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</si>
  <si>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</si>
  <si>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</si>
  <si>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</si>
  <si>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</si>
  <si>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</si>
  <si>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</si>
  <si>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</si>
  <si>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</si>
  <si>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</si>
  <si>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</si>
  <si>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</si>
  <si>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</si>
  <si>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</si>
  <si>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</si>
  <si>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</si>
  <si>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</si>
  <si>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</si>
  <si>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</si>
  <si>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</si>
  <si>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</si>
  <si>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</si>
  <si>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</si>
  <si>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</si>
  <si>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</si>
  <si>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</si>
  <si>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</si>
  <si>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</si>
  <si>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</si>
  <si>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</si>
  <si>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</si>
  <si>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</si>
  <si>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</si>
  <si>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</si>
  <si>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</si>
  <si>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</si>
  <si>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</si>
  <si>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</si>
  <si>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</si>
  <si>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</si>
  <si>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</si>
  <si>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</si>
  <si>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</si>
  <si>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</si>
  <si>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</si>
  <si>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</si>
  <si>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</si>
  <si>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</si>
  <si>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</si>
  <si>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</si>
  <si>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</si>
  <si>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</si>
  <si>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</si>
  <si>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</si>
  <si>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</si>
  <si>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</si>
  <si>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</si>
  <si>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</si>
  <si>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</si>
  <si>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</si>
  <si>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</si>
  <si>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</si>
  <si>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</si>
  <si>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</si>
  <si>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</si>
  <si>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</si>
  <si>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</si>
  <si>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</si>
  <si>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</si>
  <si>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</si>
  <si>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</si>
  <si>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</si>
  <si>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</si>
  <si>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</si>
  <si>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</si>
  <si>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</si>
  <si>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</si>
  <si>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</si>
  <si>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</si>
  <si>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</si>
  <si>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</si>
  <si>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</si>
  <si>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</si>
  <si>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</si>
  <si>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</si>
  <si>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</si>
  <si>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</si>
  <si>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</si>
  <si>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</si>
  <si>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</si>
  <si>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</si>
  <si>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</si>
  <si>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</si>
  <si>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</si>
  <si>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</si>
  <si>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</si>
  <si>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</si>
  <si>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</si>
  <si>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</si>
  <si>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</si>
  <si>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</si>
  <si>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</si>
  <si>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</si>
  <si>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</si>
  <si>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</si>
  <si>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</si>
  <si>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</si>
  <si>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</si>
  <si>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</si>
  <si>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</si>
  <si>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</si>
  <si>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</si>
  <si>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</si>
  <si>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</si>
  <si>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</si>
  <si>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</si>
  <si>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</si>
  <si>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</si>
  <si>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</si>
  <si>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</si>
  <si>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</si>
  <si>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</si>
  <si>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</si>
  <si>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</si>
  <si>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</si>
  <si>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</si>
  <si>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</si>
  <si>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</si>
  <si>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</si>
  <si>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</si>
  <si>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</si>
  <si>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</si>
  <si>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</si>
  <si>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</si>
  <si>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</si>
  <si>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</si>
  <si>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</si>
  <si>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</si>
  <si>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</si>
  <si>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</si>
  <si>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</si>
  <si>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</si>
  <si>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</si>
  <si>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</si>
  <si>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</si>
  <si>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</si>
  <si>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</si>
  <si>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</si>
  <si>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</si>
  <si>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</si>
  <si>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</si>
  <si>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</si>
  <si>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</si>
  <si>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</si>
  <si>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</si>
  <si>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</si>
  <si>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</si>
  <si>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</si>
  <si>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</si>
  <si>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</si>
  <si>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</si>
  <si>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</si>
  <si>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</si>
  <si>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</si>
  <si>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</si>
  <si>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</si>
  <si>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</si>
  <si>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</si>
  <si>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</si>
  <si>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</si>
  <si>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</si>
  <si>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</si>
  <si>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</si>
  <si>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</si>
  <si>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</si>
  <si>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</si>
  <si>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</si>
  <si>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</si>
  <si>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</si>
  <si>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</si>
  <si>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</si>
  <si>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</si>
  <si>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</si>
  <si>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</si>
  <si>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</si>
  <si>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</si>
  <si>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</si>
  <si>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</si>
  <si>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</si>
  <si>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</si>
  <si>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</si>
  <si>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</si>
  <si>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</si>
  <si>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</si>
  <si>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</si>
  <si>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</si>
  <si>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</si>
  <si>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</si>
  <si>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</si>
  <si>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</si>
  <si>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</si>
  <si>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</si>
  <si>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</si>
  <si>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</si>
  <si>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</si>
  <si>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</si>
  <si>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</si>
  <si>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</si>
  <si>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</si>
  <si>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</si>
  <si>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</si>
  <si>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</si>
  <si>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</si>
  <si>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</si>
  <si>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</si>
  <si>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</si>
  <si>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</si>
  <si>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</si>
  <si>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</si>
  <si>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</si>
  <si>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</si>
  <si>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</si>
  <si>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</si>
  <si>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</si>
  <si>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</si>
  <si>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</si>
  <si>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</si>
  <si>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</si>
  <si>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</si>
  <si>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</si>
  <si>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</si>
  <si>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</si>
  <si>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</si>
  <si>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</si>
  <si>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</si>
  <si>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</si>
  <si>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</si>
  <si>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</si>
  <si>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</si>
  <si>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</si>
  <si>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</si>
  <si>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</si>
  <si>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</si>
  <si>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</si>
  <si>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</si>
  <si>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</si>
  <si>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</si>
  <si>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</si>
  <si>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</si>
  <si>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</si>
  <si>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</si>
  <si>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</si>
  <si>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</si>
  <si>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</si>
  <si>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</si>
  <si>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</si>
  <si>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</si>
  <si>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</si>
  <si>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</si>
  <si>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</si>
  <si>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</si>
  <si>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</si>
  <si>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</si>
  <si>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</si>
  <si>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</si>
  <si>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</si>
  <si>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</si>
  <si>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</si>
  <si>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</si>
  <si>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</si>
  <si>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</si>
  <si>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</si>
  <si>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</si>
  <si>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</si>
  <si>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</si>
  <si>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</si>
  <si>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</si>
  <si>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</si>
  <si>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</si>
  <si>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</si>
  <si>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</si>
  <si>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</si>
  <si>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</si>
  <si>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</si>
  <si>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</si>
  <si>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</si>
  <si>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</si>
  <si>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</si>
  <si>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</si>
  <si>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</si>
  <si>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</si>
  <si>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</si>
  <si>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</si>
  <si>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</si>
  <si>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</si>
  <si>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</si>
  <si>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</si>
  <si>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</si>
  <si>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</si>
  <si>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</si>
  <si>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</si>
  <si>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</si>
  <si>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</si>
  <si>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</si>
  <si>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</si>
  <si>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</si>
  <si>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</si>
  <si>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</si>
  <si>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</si>
  <si>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</si>
  <si>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</si>
  <si>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</si>
  <si>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</si>
  <si>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</si>
  <si>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</si>
  <si>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</si>
  <si>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</si>
  <si>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</si>
  <si>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</si>
  <si>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</si>
  <si>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</si>
  <si>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</si>
  <si>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</si>
  <si>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</si>
  <si>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</si>
  <si>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</si>
  <si>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</si>
  <si>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</si>
  <si>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</si>
  <si>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</si>
  <si>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</si>
  <si>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</si>
  <si>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</si>
  <si>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</si>
  <si>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</si>
  <si>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</si>
  <si>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</si>
  <si>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</si>
  <si>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</si>
  <si>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</si>
  <si>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</si>
  <si>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</si>
  <si>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</si>
  <si>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</si>
  <si>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</si>
  <si>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</si>
  <si>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</si>
  <si>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</si>
  <si>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</si>
  <si>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</si>
  <si>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</si>
  <si>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</si>
  <si>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</si>
  <si>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</si>
  <si>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</si>
  <si>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</si>
  <si>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</si>
  <si>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</si>
  <si>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</si>
  <si>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</si>
  <si>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</si>
  <si>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</si>
  <si>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</si>
  <si>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</si>
  <si>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</si>
  <si>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</si>
  <si>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</si>
  <si>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</si>
  <si>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</si>
  <si>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</si>
  <si>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</si>
  <si>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</si>
  <si>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</si>
  <si>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</si>
  <si>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</si>
  <si>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</si>
  <si>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</si>
  <si>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</si>
  <si>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</si>
  <si>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</si>
  <si>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</si>
  <si>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</si>
  <si>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</si>
  <si>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</si>
  <si>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</si>
  <si>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</si>
  <si>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</si>
  <si>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</si>
  <si>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</si>
  <si>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</si>
  <si>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</si>
  <si>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</si>
  <si>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</si>
  <si>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</si>
  <si>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</si>
  <si>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</si>
  <si>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</si>
  <si>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</si>
  <si>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</si>
  <si>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</si>
  <si>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</si>
  <si>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</si>
  <si>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</si>
  <si>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</si>
  <si>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</si>
  <si>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</si>
  <si>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</si>
  <si>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</si>
  <si>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</si>
  <si>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</si>
  <si>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</si>
  <si>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</si>
  <si>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</si>
  <si>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</si>
  <si>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</si>
  <si>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</si>
  <si>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</si>
  <si>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</si>
  <si>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</si>
  <si>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</si>
  <si>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</si>
  <si>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</si>
  <si>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</si>
  <si>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</si>
  <si>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</si>
  <si>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</si>
  <si>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</si>
  <si>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</si>
  <si>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</si>
  <si>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</si>
  <si>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</si>
  <si>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</si>
  <si>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</si>
  <si>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</si>
  <si>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</si>
  <si>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</si>
  <si>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</si>
  <si>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</si>
  <si>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</si>
  <si>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</si>
  <si>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</si>
  <si>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</si>
  <si>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</si>
  <si>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</si>
  <si>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</si>
  <si>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</si>
  <si>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</si>
  <si>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</si>
  <si>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</si>
  <si>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</si>
  <si>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</si>
  <si>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</si>
  <si>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</si>
  <si>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</si>
  <si>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</si>
  <si>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</si>
  <si>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</si>
  <si>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</si>
  <si>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</si>
  <si>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</si>
  <si>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</si>
  <si>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</si>
  <si>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</si>
  <si>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</si>
  <si>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</si>
  <si>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</si>
  <si>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</si>
  <si>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</si>
  <si>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</si>
  <si>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</si>
  <si>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</si>
  <si>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</si>
  <si>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</si>
  <si>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</si>
  <si>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</si>
  <si>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</si>
  <si>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</si>
  <si>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</si>
  <si>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</si>
  <si>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</si>
  <si>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</si>
  <si>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</si>
  <si>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</si>
  <si>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</si>
  <si>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</si>
  <si>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</si>
  <si>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</si>
  <si>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</si>
  <si>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</si>
  <si>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</si>
  <si>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</si>
  <si>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</si>
  <si>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</si>
  <si>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</si>
  <si>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</si>
  <si>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</si>
  <si>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</si>
  <si>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</si>
  <si>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</si>
  <si>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</si>
  <si>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</si>
  <si>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</si>
  <si>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</si>
  <si>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</si>
  <si>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</si>
  <si>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</si>
  <si>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</si>
  <si>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</si>
  <si>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</si>
  <si>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</si>
  <si>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</si>
  <si>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</si>
  <si>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</si>
  <si>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</si>
  <si>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</si>
  <si>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</si>
  <si>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</si>
  <si>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</si>
  <si>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</si>
  <si>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</si>
  <si>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</si>
  <si>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</si>
  <si>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</si>
  <si>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</si>
  <si>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</si>
  <si>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</si>
  <si>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</si>
  <si>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</si>
  <si>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</si>
  <si>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</si>
  <si>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</si>
  <si>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</si>
  <si>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</si>
  <si>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</si>
  <si>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</si>
  <si>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</si>
  <si>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</si>
  <si>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</si>
  <si>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</si>
  <si>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</si>
  <si>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</si>
  <si>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</si>
  <si>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</si>
  <si>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</si>
  <si>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</si>
  <si>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</si>
  <si>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</si>
  <si>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</si>
  <si>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</si>
  <si>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</si>
  <si>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</si>
  <si>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</si>
  <si>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</si>
  <si>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</si>
  <si>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</si>
  <si>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</si>
  <si>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</si>
  <si>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</si>
  <si>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</si>
  <si>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</si>
  <si>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</si>
  <si>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</si>
  <si>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</si>
  <si>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</si>
  <si>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</si>
  <si>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</si>
  <si>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</si>
  <si>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</si>
  <si>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</si>
  <si>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</si>
  <si>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</si>
  <si>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</si>
  <si>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</si>
  <si>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</si>
  <si>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</si>
  <si>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</si>
  <si>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</si>
  <si>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</si>
  <si>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</si>
  <si>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</si>
  <si>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</si>
  <si>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</si>
  <si>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</si>
  <si>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</si>
  <si>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</si>
  <si>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</si>
  <si>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</si>
  <si>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</si>
  <si>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</si>
  <si>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</si>
  <si>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</si>
  <si>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</si>
  <si>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</si>
  <si>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</si>
  <si>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</si>
  <si>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</si>
  <si>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</si>
  <si>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</si>
  <si>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</si>
  <si>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</si>
  <si>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</si>
  <si>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</si>
  <si>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</si>
  <si>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</si>
  <si>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</si>
  <si>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</si>
  <si>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</si>
  <si>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</si>
  <si>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</si>
  <si>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</si>
  <si>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</si>
  <si>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</si>
  <si>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</si>
  <si>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</si>
  <si>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</si>
  <si>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</si>
  <si>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</si>
  <si>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</si>
  <si>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</si>
  <si>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</si>
  <si>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</si>
  <si>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</si>
  <si>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</si>
  <si>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</si>
  <si>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</si>
  <si>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</si>
  <si>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</si>
  <si>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</si>
  <si>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</si>
  <si>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</si>
  <si>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</si>
  <si>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</si>
  <si>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</si>
  <si>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</si>
  <si>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</si>
  <si>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</si>
  <si>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</si>
  <si>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</si>
  <si>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</si>
  <si>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</si>
  <si>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</si>
  <si>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</si>
  <si>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</si>
  <si>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</si>
  <si>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</si>
  <si>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</si>
  <si>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</si>
  <si>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</si>
  <si>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</si>
  <si>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</si>
  <si>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</si>
  <si>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</si>
  <si>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</si>
  <si>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</si>
  <si>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</si>
  <si>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</si>
  <si>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</si>
  <si>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</si>
  <si>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</si>
  <si>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</si>
  <si>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</si>
  <si>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</si>
  <si>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</si>
  <si>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</si>
  <si>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</si>
  <si>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</si>
  <si>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</si>
  <si>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</si>
  <si>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</si>
  <si>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</si>
  <si>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</si>
  <si>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</si>
  <si>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</si>
  <si>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</si>
  <si>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</si>
  <si>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</si>
  <si>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</si>
  <si>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</si>
  <si>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</si>
  <si>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</si>
  <si>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</si>
  <si>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</si>
  <si>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</si>
  <si>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</si>
  <si>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</si>
  <si>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</si>
  <si>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</si>
  <si>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</si>
  <si>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</si>
  <si>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</si>
  <si>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</si>
  <si>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</si>
  <si>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</si>
  <si>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</si>
  <si>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</si>
  <si>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</si>
  <si>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</si>
  <si>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</si>
  <si>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</si>
  <si>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</si>
  <si>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</si>
  <si>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</si>
  <si>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</si>
  <si>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</si>
  <si>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</si>
  <si>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</si>
  <si>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</si>
  <si>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</si>
  <si>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</si>
  <si>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</si>
  <si>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</si>
  <si>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</si>
  <si>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</si>
  <si>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</si>
  <si>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</si>
  <si>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</si>
  <si>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</si>
  <si>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</si>
  <si>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</si>
  <si>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</si>
  <si>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</si>
  <si>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</si>
  <si>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</si>
  <si>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</si>
  <si>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</si>
  <si>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</si>
  <si>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</si>
  <si>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</si>
  <si>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</si>
  <si>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</si>
  <si>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</si>
  <si>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</si>
  <si>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</si>
  <si>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</si>
  <si>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</si>
  <si>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</si>
  <si>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</si>
  <si>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</si>
  <si>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</si>
  <si>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</si>
  <si>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</si>
  <si>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</si>
  <si>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</si>
  <si>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</si>
  <si>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</si>
  <si>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</si>
  <si>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</si>
  <si>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</si>
  <si>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</si>
  <si>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</si>
  <si>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</si>
  <si>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</si>
  <si>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</si>
  <si>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</si>
  <si>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</si>
  <si>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</si>
  <si>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</si>
  <si>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</si>
  <si>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</si>
  <si>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</si>
  <si>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</si>
  <si>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</si>
  <si>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</si>
  <si>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</si>
  <si>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</si>
  <si>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</si>
  <si>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</si>
  <si>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</si>
  <si>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</si>
  <si>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</si>
  <si>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</si>
  <si>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</si>
  <si>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</si>
  <si>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</si>
  <si>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</si>
  <si>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</si>
  <si>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</si>
  <si>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</si>
  <si>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</si>
  <si>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</si>
  <si>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</si>
  <si>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</si>
  <si>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</si>
  <si>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</si>
  <si>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</si>
  <si>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</si>
  <si>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</si>
  <si>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</si>
  <si>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</si>
  <si>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</si>
  <si>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</si>
  <si>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</si>
  <si>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</si>
  <si>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</si>
  <si>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</si>
  <si>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</si>
  <si>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</si>
  <si>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</si>
  <si>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</si>
  <si>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</si>
  <si>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</si>
  <si>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</si>
  <si>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</si>
  <si>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</si>
  <si>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</si>
  <si>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</si>
  <si>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</si>
  <si>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</si>
  <si>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</si>
  <si>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</si>
  <si>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</si>
  <si>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</si>
  <si>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</si>
  <si>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</si>
  <si>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</si>
  <si>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</si>
  <si>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</si>
  <si>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</si>
  <si>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</si>
  <si>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</si>
  <si>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</si>
  <si>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</si>
  <si>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</si>
  <si>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</si>
  <si>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</si>
  <si>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</si>
  <si>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</si>
  <si>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</si>
  <si>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</si>
  <si>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</si>
  <si>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</si>
  <si>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</si>
  <si>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</si>
  <si>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</si>
  <si>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</si>
  <si>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</si>
  <si>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</si>
  <si>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</si>
  <si>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</si>
  <si>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</si>
  <si>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</si>
  <si>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</si>
  <si>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</si>
  <si>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</si>
  <si>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</si>
  <si>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</si>
  <si>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</si>
  <si>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</si>
  <si>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</si>
  <si>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</si>
  <si>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</si>
  <si>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</si>
  <si>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</si>
  <si>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</si>
  <si>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</si>
  <si>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</si>
  <si>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</si>
  <si>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</si>
  <si>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</si>
  <si>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</si>
  <si>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</si>
  <si>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</si>
  <si>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</si>
  <si>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</si>
  <si>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</si>
  <si>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</si>
  <si>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</si>
  <si>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</si>
  <si>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</si>
  <si>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</si>
  <si>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</si>
  <si>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</si>
  <si>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</si>
  <si>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</si>
  <si>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</si>
  <si>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</si>
  <si>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</si>
  <si>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</si>
  <si>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</si>
  <si>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</si>
  <si>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</si>
  <si>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</si>
  <si>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</si>
  <si>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</si>
  <si>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</si>
  <si>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</si>
  <si>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</si>
  <si>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</si>
  <si>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</si>
  <si>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</si>
  <si>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</si>
  <si>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</si>
  <si>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</si>
  <si>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</si>
  <si>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</si>
  <si>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</si>
  <si>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</si>
  <si>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</si>
  <si>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</si>
  <si>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</si>
  <si>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</si>
  <si>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</si>
  <si>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</si>
  <si>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</si>
  <si>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</si>
  <si>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</si>
  <si>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</si>
  <si>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</si>
  <si>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</si>
  <si>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</si>
  <si>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</si>
  <si>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</si>
  <si>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</si>
  <si>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</si>
  <si>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</si>
  <si>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</si>
  <si>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</si>
  <si>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</si>
  <si>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</si>
  <si>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</si>
  <si>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</si>
  <si>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</si>
  <si>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</si>
  <si>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</si>
  <si>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</si>
  <si>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</si>
  <si>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</si>
  <si>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</si>
  <si>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</si>
  <si>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</si>
  <si>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</si>
  <si>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</si>
  <si>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</si>
  <si>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</si>
  <si>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</si>
  <si>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</si>
  <si>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</si>
  <si>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</si>
  <si>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</si>
  <si>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</si>
  <si>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</si>
  <si>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</si>
  <si>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</si>
  <si>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</si>
  <si>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</si>
  <si>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</si>
  <si>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</si>
  <si>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</si>
  <si>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</si>
  <si>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</si>
  <si>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</si>
  <si>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</si>
  <si>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</si>
  <si>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</si>
  <si>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</si>
  <si>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</si>
  <si>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</si>
  <si>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</si>
  <si>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</si>
  <si>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</si>
  <si>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</si>
  <si>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</si>
  <si>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</si>
  <si>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</si>
  <si>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</si>
  <si>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</si>
  <si>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</si>
  <si>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</si>
  <si>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</si>
  <si>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</si>
  <si>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</si>
  <si>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</si>
  <si>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</si>
  <si>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</si>
  <si>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</si>
  <si>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</si>
  <si>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</si>
  <si>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</si>
  <si>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</si>
  <si>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</si>
  <si>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</si>
  <si>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</si>
  <si>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</si>
  <si>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</si>
  <si>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</si>
  <si>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</si>
  <si>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</si>
  <si>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</si>
  <si>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</si>
  <si>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</si>
  <si>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</si>
  <si>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</si>
  <si>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</si>
  <si>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</si>
  <si>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</si>
  <si>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</si>
  <si>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</si>
  <si>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</si>
  <si>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</si>
  <si>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</si>
  <si>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</si>
  <si>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</si>
  <si>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</si>
  <si>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</si>
  <si>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</si>
  <si>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</si>
  <si>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</si>
  <si>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</si>
  <si>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</si>
  <si>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</si>
  <si>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</si>
  <si>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</si>
  <si>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</si>
  <si>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</si>
  <si>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</si>
  <si>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</si>
  <si>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</si>
  <si>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</si>
  <si>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</si>
  <si>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</si>
  <si>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</si>
  <si>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</si>
  <si>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</si>
  <si>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</si>
  <si>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</si>
  <si>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</si>
  <si>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</si>
  <si>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</si>
  <si>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</si>
  <si>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</si>
  <si>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</si>
  <si>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</si>
  <si>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</si>
  <si>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</si>
  <si>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</si>
  <si>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</si>
  <si>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</si>
  <si>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</si>
  <si>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</si>
  <si>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</si>
  <si>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</si>
  <si>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</si>
  <si>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</si>
  <si>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</si>
  <si>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</si>
  <si>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</si>
  <si>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</si>
  <si>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</si>
  <si>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</si>
  <si>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</si>
  <si>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</si>
  <si>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</si>
  <si>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</si>
  <si>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</si>
  <si>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</si>
  <si>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</si>
  <si>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</si>
  <si>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</si>
  <si>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</si>
  <si>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</si>
  <si>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</si>
  <si>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</si>
  <si>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</si>
  <si>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</si>
  <si>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</si>
  <si>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</si>
  <si>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</si>
  <si>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</si>
  <si>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</si>
  <si>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</si>
  <si>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</si>
  <si>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</si>
  <si>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</si>
  <si>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</si>
  <si>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</si>
  <si>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</si>
  <si>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</si>
  <si>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</si>
  <si>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</si>
  <si>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</si>
  <si>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</si>
  <si>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</si>
  <si>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</si>
  <si>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</si>
  <si>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</si>
  <si>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</si>
  <si>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</si>
  <si>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</si>
  <si>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</si>
  <si>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</si>
  <si>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</si>
  <si>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</si>
  <si>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</si>
  <si>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</si>
  <si>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</si>
  <si>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</si>
  <si>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</si>
  <si>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</si>
  <si>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</si>
  <si>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</si>
  <si>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</si>
  <si>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</si>
  <si>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</si>
  <si>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</si>
  <si>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</si>
  <si>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</si>
  <si>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</si>
  <si>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</si>
  <si>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</si>
  <si>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</si>
  <si>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</si>
  <si>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</si>
  <si>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</si>
  <si>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</si>
  <si>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</si>
  <si>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</si>
  <si>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</si>
  <si>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</si>
  <si>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</si>
  <si>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</si>
  <si>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</si>
  <si>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</si>
  <si>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</si>
  <si>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</si>
  <si>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</si>
  <si>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</si>
  <si>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</si>
  <si>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</si>
  <si>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</si>
  <si>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</si>
  <si>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</si>
  <si>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</si>
  <si>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</si>
  <si>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</si>
  <si>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</si>
  <si>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</si>
  <si>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</si>
  <si>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</si>
  <si>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</si>
  <si>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</si>
  <si>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</si>
  <si>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</si>
  <si>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</si>
  <si>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</si>
  <si>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</si>
  <si>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</si>
  <si>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</si>
  <si>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</si>
  <si>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</si>
  <si>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</si>
  <si>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</si>
  <si>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</si>
  <si>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</si>
  <si>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</si>
  <si>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</si>
  <si>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</si>
  <si>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</si>
  <si>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</si>
  <si>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</si>
  <si>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</si>
  <si>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</si>
  <si>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</si>
  <si>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</si>
  <si>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</si>
  <si>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</si>
  <si>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</si>
  <si>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</si>
  <si>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</si>
  <si>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</si>
  <si>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</si>
  <si>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</si>
  <si>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</si>
  <si>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</si>
  <si>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</si>
  <si>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</si>
  <si>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</si>
  <si>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</si>
  <si>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</si>
  <si>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</si>
  <si>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</si>
  <si>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</si>
  <si>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</si>
  <si>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</si>
  <si>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</si>
  <si>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</si>
  <si>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</si>
  <si>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</si>
  <si>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</si>
  <si>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</si>
  <si>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</si>
  <si>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</si>
  <si>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</si>
  <si>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</si>
  <si>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</si>
  <si>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</si>
  <si>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</si>
  <si>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</si>
  <si>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</si>
  <si>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</si>
  <si>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</si>
  <si>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</si>
  <si>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</si>
  <si>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</si>
  <si>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</si>
  <si>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</si>
  <si>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</si>
  <si>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</si>
  <si>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</si>
  <si>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</si>
  <si>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</si>
  <si>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</si>
  <si>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</si>
  <si>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</si>
  <si>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</si>
  <si>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</si>
  <si>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</si>
  <si>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</si>
  <si>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</si>
  <si>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</si>
  <si>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</si>
  <si>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</si>
  <si>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</si>
  <si>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</si>
  <si>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</si>
  <si>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</si>
  <si>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</si>
  <si>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</si>
  <si>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</si>
  <si>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</si>
  <si>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</si>
  <si>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</si>
  <si>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</si>
  <si>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</si>
  <si>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</si>
  <si>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</si>
  <si>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</si>
  <si>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</si>
  <si>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</si>
  <si>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</si>
  <si>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</si>
  <si>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</si>
  <si>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</si>
  <si>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</si>
  <si>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</si>
  <si>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</si>
  <si>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</si>
  <si>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</si>
  <si>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</si>
  <si>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</si>
  <si>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</si>
  <si>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</si>
  <si>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</si>
  <si>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</si>
  <si>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</si>
  <si>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</si>
  <si>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</si>
  <si>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</si>
  <si>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</si>
  <si>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</si>
  <si>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</si>
  <si>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</si>
  <si>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</si>
  <si>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</si>
  <si>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</si>
  <si>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</si>
  <si>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</si>
  <si>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</si>
  <si>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</si>
  <si>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</si>
  <si>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</si>
  <si>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</si>
  <si>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</si>
  <si>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</si>
  <si>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</si>
  <si>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</si>
  <si>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</si>
  <si>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</si>
  <si>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</si>
  <si>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</si>
  <si>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</si>
  <si>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</si>
  <si>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</si>
  <si>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</si>
  <si>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</si>
  <si>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</si>
  <si>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</si>
  <si>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</si>
  <si>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</si>
  <si>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</si>
  <si>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</si>
  <si>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</si>
  <si>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</si>
  <si>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</si>
  <si>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</si>
  <si>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</si>
  <si>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</si>
  <si>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</si>
  <si>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</si>
  <si>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</si>
  <si>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</si>
  <si>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</si>
  <si>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</si>
  <si>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</si>
  <si>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</si>
  <si>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</si>
  <si>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</si>
  <si>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</si>
  <si>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</si>
  <si>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</si>
  <si>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</si>
  <si>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</si>
  <si>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</si>
  <si>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</si>
  <si>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</si>
  <si>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</si>
  <si>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</si>
  <si>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</si>
  <si>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</si>
  <si>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</si>
  <si>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</si>
  <si>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</si>
  <si>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</si>
  <si>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</si>
  <si>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</si>
  <si>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</si>
  <si>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</si>
  <si>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</si>
  <si>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</si>
  <si>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</si>
  <si>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</si>
  <si>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</si>
  <si>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</si>
  <si>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</si>
  <si>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</si>
  <si>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</si>
  <si>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</si>
  <si>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</si>
  <si>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</si>
  <si>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</si>
  <si>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</si>
  <si>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</si>
  <si>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</si>
  <si>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</si>
  <si>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</si>
  <si>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</si>
  <si>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</si>
  <si>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</si>
  <si>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</si>
  <si>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</si>
  <si>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</si>
  <si>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</si>
  <si>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</si>
  <si>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</si>
  <si>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</si>
  <si>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</si>
  <si>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</si>
  <si>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</si>
  <si>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</si>
  <si>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</si>
  <si>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</si>
  <si>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</si>
  <si>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</si>
  <si>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</si>
  <si>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</si>
  <si>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</si>
  <si>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</si>
  <si>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</si>
  <si>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</si>
  <si>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</si>
  <si>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</si>
  <si>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</si>
  <si>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</si>
  <si>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</si>
  <si>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</si>
  <si>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</si>
  <si>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</si>
  <si>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</si>
  <si>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</si>
  <si>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</si>
  <si>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</si>
  <si>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</si>
  <si>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</si>
  <si>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</si>
  <si>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</si>
  <si>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</si>
  <si>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</si>
  <si>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</si>
  <si>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</si>
  <si>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</si>
  <si>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</si>
  <si>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</si>
  <si>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</si>
  <si>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</si>
  <si>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</si>
  <si>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</si>
  <si>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</si>
  <si>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</si>
  <si>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</si>
  <si>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</si>
  <si>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</si>
  <si>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</si>
  <si>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</si>
  <si>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</si>
  <si>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</si>
  <si>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</si>
  <si>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</si>
  <si>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</si>
  <si>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</si>
  <si>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</si>
  <si>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</si>
  <si>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</si>
  <si>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</si>
  <si>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</si>
  <si>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</si>
  <si>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</si>
  <si>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</si>
  <si>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</si>
  <si>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</si>
  <si>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</si>
  <si>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</si>
  <si>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</si>
  <si>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</si>
  <si>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</si>
  <si>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</si>
  <si>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</si>
  <si>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</si>
  <si>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</si>
  <si>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</si>
  <si>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</si>
  <si>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</si>
  <si>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</si>
  <si>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</si>
  <si>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</si>
  <si>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</si>
  <si>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</si>
  <si>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</si>
  <si>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</si>
  <si>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</si>
  <si>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</si>
  <si>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</si>
  <si>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</si>
  <si>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</si>
  <si>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</si>
  <si>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</si>
  <si>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</si>
  <si>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</si>
  <si>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</si>
  <si>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</si>
  <si>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</si>
  <si>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</si>
  <si>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</si>
  <si>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</si>
  <si>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</si>
  <si>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</si>
  <si>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</si>
  <si>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</si>
  <si>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</si>
  <si>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</si>
  <si>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</si>
  <si>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</si>
  <si>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</si>
  <si>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</si>
  <si>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</si>
  <si>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</si>
  <si>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</si>
  <si>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</si>
  <si>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</si>
  <si>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</si>
  <si>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</si>
  <si>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</si>
  <si>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</si>
  <si>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</si>
  <si>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</si>
  <si>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</si>
  <si>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</si>
  <si>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</si>
  <si>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</si>
  <si>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</si>
  <si>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</si>
  <si>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</si>
  <si>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</si>
  <si>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</si>
  <si>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</si>
  <si>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</si>
  <si>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</si>
  <si>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</si>
  <si>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</si>
  <si>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</si>
  <si>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</si>
  <si>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</si>
  <si>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</si>
  <si>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</si>
  <si>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</si>
  <si>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</si>
  <si>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</si>
  <si>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</si>
  <si>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</si>
  <si>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</si>
  <si>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</si>
  <si>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</si>
  <si>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</si>
  <si>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</si>
  <si>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</si>
  <si>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</si>
  <si>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</si>
  <si>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</si>
  <si>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</si>
  <si>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</si>
  <si>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</si>
  <si>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</si>
  <si>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</si>
  <si>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</si>
  <si>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</si>
  <si>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</si>
  <si>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</si>
  <si>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</si>
  <si>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</si>
  <si>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</si>
  <si>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</si>
  <si>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</si>
  <si>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</si>
  <si>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</si>
  <si>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</si>
  <si>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</si>
  <si>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</si>
  <si>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</si>
  <si>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</si>
  <si>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</si>
  <si>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</si>
  <si>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</si>
  <si>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</si>
  <si>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</si>
  <si>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</si>
  <si>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</si>
  <si>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</si>
  <si>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</si>
  <si>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</si>
  <si>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</si>
  <si>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</si>
  <si>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</si>
  <si>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</si>
  <si>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</si>
  <si>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</si>
  <si>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</si>
  <si>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</si>
  <si>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</si>
  <si>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</si>
  <si>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</si>
  <si>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</si>
  <si>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</si>
  <si>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</si>
  <si>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</si>
  <si>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</si>
  <si>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</si>
  <si>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</si>
  <si>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</si>
  <si>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</si>
  <si>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</si>
  <si>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</si>
  <si>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</si>
  <si>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</si>
  <si>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</si>
  <si>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</si>
  <si>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</si>
  <si>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</si>
  <si>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</si>
  <si>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</si>
  <si>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</si>
  <si>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</si>
  <si>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</si>
  <si>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</si>
  <si>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</si>
  <si>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</si>
  <si>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</si>
  <si>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</si>
  <si>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</si>
  <si>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</si>
  <si>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</si>
  <si>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</si>
  <si>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</si>
  <si>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</si>
  <si>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</si>
  <si>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</si>
  <si>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</si>
  <si>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</si>
  <si>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</si>
  <si>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</si>
  <si>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</si>
  <si>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</si>
  <si>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</si>
  <si>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</si>
  <si>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</si>
  <si>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</si>
  <si>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</si>
  <si>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</si>
  <si>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</si>
  <si>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</si>
  <si>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</si>
  <si>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</si>
  <si>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</si>
  <si>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</si>
  <si>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</si>
  <si>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</si>
  <si>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</si>
  <si>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</si>
  <si>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</si>
  <si>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</si>
  <si>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</si>
  <si>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</si>
  <si>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</si>
  <si>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</si>
  <si>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</si>
  <si>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</si>
  <si>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</si>
  <si>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</si>
  <si>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</si>
  <si>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</si>
  <si>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</si>
  <si>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</si>
  <si>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</si>
  <si>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</si>
  <si>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</si>
  <si>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</si>
  <si>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</si>
  <si>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</si>
  <si>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</si>
  <si>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</si>
  <si>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</si>
  <si>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</si>
  <si>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</si>
  <si>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</si>
  <si>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</si>
  <si>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</si>
  <si>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</si>
  <si>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</si>
  <si>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</si>
  <si>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</si>
  <si>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</si>
  <si>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</si>
  <si>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</si>
  <si>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</si>
  <si>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</si>
  <si>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</si>
  <si>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</si>
  <si>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</si>
  <si>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</si>
  <si>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</si>
  <si>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</si>
  <si>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</si>
  <si>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</si>
  <si>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</si>
  <si>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</si>
  <si>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</si>
  <si>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</si>
  <si>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</si>
  <si>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</si>
  <si>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</si>
  <si>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</si>
  <si>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</si>
  <si>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</si>
  <si>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</si>
  <si>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</si>
  <si>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</si>
  <si>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</si>
  <si>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</si>
  <si>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</si>
  <si>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</si>
  <si>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</si>
  <si>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</si>
  <si>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</si>
  <si>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</si>
  <si>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</si>
  <si>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</si>
  <si>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</si>
  <si>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</si>
  <si>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</si>
  <si>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</si>
  <si>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</si>
  <si>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</si>
  <si>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</si>
  <si>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</si>
  <si>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</si>
  <si>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</si>
  <si>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</si>
  <si>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</si>
  <si>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</si>
  <si>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</si>
  <si>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</si>
  <si>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</si>
  <si>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</si>
  <si>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</si>
  <si>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</si>
  <si>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</si>
  <si>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</si>
  <si>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</si>
  <si>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</si>
  <si>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</si>
  <si>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</si>
  <si>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</si>
  <si>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</si>
  <si>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</si>
  <si>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</si>
  <si>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</si>
  <si>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</si>
  <si>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</si>
  <si>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</si>
  <si>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</si>
  <si>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</si>
  <si>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</si>
  <si>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</si>
  <si>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</si>
  <si>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</si>
  <si>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</si>
  <si>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</si>
  <si>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</si>
  <si>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</si>
  <si>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</si>
  <si>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</si>
  <si>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</si>
  <si>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</si>
  <si>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</si>
  <si>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</si>
  <si>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</si>
  <si>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</si>
  <si>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</si>
  <si>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</si>
  <si>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</si>
  <si>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</si>
  <si>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</si>
  <si>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</si>
  <si>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</si>
  <si>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</si>
  <si>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</si>
  <si>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</si>
  <si>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</si>
  <si>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</si>
  <si>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</si>
  <si>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</si>
  <si>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</si>
  <si>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</si>
  <si>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</si>
  <si>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</si>
  <si>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</si>
  <si>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</si>
  <si>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</si>
  <si>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</si>
  <si>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</si>
  <si>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</si>
  <si>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</si>
  <si>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</si>
  <si>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</si>
  <si>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</si>
  <si>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</si>
  <si>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</si>
  <si>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</si>
  <si>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</si>
  <si>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</si>
  <si>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</si>
  <si>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</si>
  <si>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</si>
  <si>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</si>
  <si>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</si>
  <si>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</si>
  <si>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</si>
  <si>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</si>
  <si>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</si>
  <si>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</si>
  <si>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</si>
  <si>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</si>
  <si>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</si>
  <si>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</si>
  <si>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</si>
  <si>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</si>
  <si>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</si>
  <si>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</si>
  <si>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</si>
  <si>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</si>
  <si>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</si>
  <si>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</si>
  <si>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</si>
  <si>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</si>
  <si>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</si>
  <si>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</si>
  <si>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</si>
  <si>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</si>
  <si>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</si>
  <si>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</si>
  <si>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</si>
  <si>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</si>
  <si>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</si>
  <si>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</si>
  <si>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</si>
  <si>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</si>
  <si>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</si>
  <si>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</si>
  <si>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</si>
  <si>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</si>
  <si>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</si>
  <si>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</si>
  <si>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</si>
  <si>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</si>
  <si>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</si>
  <si>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</si>
  <si>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</si>
  <si>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</si>
  <si>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</si>
  <si>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</si>
  <si>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</si>
  <si>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</si>
  <si>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</si>
  <si>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</si>
  <si>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</si>
  <si>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</si>
  <si>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</si>
  <si>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</si>
  <si>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</si>
  <si>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</si>
  <si>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</si>
  <si>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</si>
  <si>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</si>
  <si>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</si>
  <si>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</si>
  <si>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</si>
  <si>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</si>
  <si>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</si>
  <si>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</si>
  <si>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</si>
  <si>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</si>
  <si>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</si>
  <si>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</si>
  <si>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</si>
  <si>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</si>
  <si>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</si>
  <si>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</si>
  <si>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</si>
  <si>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</si>
  <si>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</si>
  <si>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</si>
  <si>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</si>
  <si>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</si>
  <si>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</si>
  <si>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</si>
  <si>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</si>
  <si>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</si>
  <si>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</si>
  <si>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</si>
  <si>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</si>
  <si>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</si>
  <si>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</si>
  <si>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</si>
  <si>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</si>
  <si>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</si>
  <si>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</si>
  <si>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</si>
  <si>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</si>
  <si>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</si>
  <si>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</si>
  <si>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</si>
  <si>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</si>
  <si>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</si>
  <si>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</si>
  <si>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</si>
  <si>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</si>
  <si>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</si>
  <si>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</si>
  <si>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</si>
  <si>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</si>
  <si>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</si>
  <si>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</si>
  <si>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</si>
  <si>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</si>
  <si>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</si>
  <si>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</si>
  <si>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</si>
  <si>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</si>
  <si>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</si>
  <si>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</si>
  <si>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</si>
  <si>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</si>
  <si>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</si>
  <si>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</si>
  <si>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</si>
  <si>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</si>
  <si>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</si>
  <si>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</si>
  <si>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</si>
  <si>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</si>
  <si>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</si>
  <si>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</si>
  <si>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</si>
  <si>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</si>
  <si>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</si>
  <si>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</si>
  <si>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</si>
  <si>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</si>
  <si>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</si>
  <si>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</si>
  <si>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</si>
  <si>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</si>
  <si>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</si>
  <si>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</si>
  <si>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</si>
  <si>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</si>
  <si>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</si>
  <si>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</si>
  <si>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</si>
  <si>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</si>
  <si>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</si>
  <si>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</si>
  <si>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</si>
  <si>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</si>
  <si>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</si>
  <si>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</si>
  <si>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</si>
  <si>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</si>
  <si>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</si>
  <si>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</si>
  <si>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</si>
  <si>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</si>
  <si>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</si>
  <si>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</si>
  <si>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</si>
  <si>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</si>
  <si>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</si>
  <si>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</si>
  <si>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</si>
  <si>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</si>
  <si>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</si>
  <si>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</si>
  <si>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</si>
  <si>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</si>
  <si>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</si>
  <si>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</si>
  <si>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</si>
  <si>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</si>
  <si>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</si>
  <si>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</si>
  <si>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</si>
  <si>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</si>
  <si>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</si>
  <si>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</si>
  <si>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</si>
  <si>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</si>
  <si>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</si>
  <si>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</si>
  <si>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</si>
  <si>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</si>
  <si>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</si>
  <si>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</si>
  <si>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</si>
  <si>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</si>
  <si>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</si>
  <si>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</si>
  <si>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</si>
  <si>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</si>
  <si>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</si>
  <si>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</si>
  <si>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</si>
  <si>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</si>
  <si>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</si>
  <si>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</si>
  <si>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</si>
  <si>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</si>
  <si>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</si>
  <si>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</si>
  <si>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</si>
  <si>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</si>
  <si>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</si>
  <si>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</si>
  <si>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</si>
  <si>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</si>
  <si>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</si>
  <si>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</si>
  <si>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</si>
  <si>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</si>
  <si>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</si>
  <si>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</si>
  <si>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</si>
  <si>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</si>
  <si>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</si>
  <si>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</si>
  <si>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</si>
  <si>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</si>
  <si>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</si>
  <si>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</si>
  <si>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</si>
  <si>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</si>
  <si>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</si>
  <si>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</si>
  <si>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</si>
  <si>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</si>
  <si>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</si>
  <si>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</si>
  <si>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</si>
  <si>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</si>
  <si>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</si>
  <si>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</si>
  <si>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</si>
  <si>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</si>
  <si>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</si>
  <si>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</si>
  <si>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</si>
  <si>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</si>
  <si>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</si>
  <si>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</si>
  <si>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</si>
  <si>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</si>
  <si>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</si>
  <si>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</si>
  <si>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</si>
  <si>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</si>
  <si>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</si>
  <si>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</si>
  <si>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</si>
  <si>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</si>
  <si>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</si>
  <si>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</si>
  <si>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</si>
  <si>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</si>
  <si>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</si>
  <si>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</si>
  <si>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</si>
  <si>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</si>
  <si>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</si>
  <si>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</si>
  <si>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</si>
  <si>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</si>
  <si>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</si>
  <si>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</si>
  <si>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</si>
  <si>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</si>
  <si>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</si>
  <si>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</si>
  <si>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</si>
  <si>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</si>
  <si>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</si>
  <si>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</si>
  <si>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</si>
  <si>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</si>
  <si>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</si>
  <si>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</si>
  <si>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</si>
  <si>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</si>
  <si>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</si>
  <si>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</si>
  <si>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</si>
  <si>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</si>
  <si>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</si>
  <si>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</si>
  <si>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</si>
  <si>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</si>
  <si>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</si>
  <si>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</si>
  <si>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</si>
  <si>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</si>
  <si>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</si>
  <si>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</si>
  <si>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</si>
  <si>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</si>
  <si>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</si>
  <si>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</si>
  <si>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</si>
  <si>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</si>
  <si>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</si>
  <si>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</si>
  <si>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</si>
  <si>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</si>
  <si>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</si>
  <si>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</si>
  <si>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</si>
  <si>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</si>
  <si>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</si>
  <si>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</si>
  <si>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</si>
  <si>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</si>
  <si>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</si>
  <si>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</si>
  <si>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</si>
  <si>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</si>
  <si>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</si>
  <si>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</si>
  <si>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</si>
  <si>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</si>
  <si>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</si>
  <si>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</si>
  <si>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</si>
  <si>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</si>
  <si>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</si>
  <si>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</si>
  <si>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</si>
  <si>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</si>
  <si>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</si>
  <si>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</si>
  <si>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</si>
  <si>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</si>
  <si>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</si>
  <si>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</si>
  <si>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</si>
  <si>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</si>
  <si>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</si>
  <si>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</si>
  <si>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</si>
  <si>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</si>
  <si>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</si>
  <si>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</si>
  <si>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</si>
  <si>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</si>
  <si>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</si>
  <si>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</si>
  <si>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</si>
  <si>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</si>
  <si>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</si>
  <si>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</si>
  <si>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</si>
  <si>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</si>
  <si>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</si>
  <si>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</si>
  <si>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</si>
  <si>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</si>
  <si>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</si>
  <si>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</si>
  <si>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</si>
  <si>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</si>
  <si>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</si>
  <si>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</si>
  <si>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</si>
  <si>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</si>
  <si>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</si>
  <si>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</si>
  <si>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</si>
  <si>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</si>
  <si>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</si>
  <si>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</si>
  <si>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</si>
  <si>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</si>
  <si>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</si>
  <si>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</si>
  <si>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</si>
  <si>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</si>
  <si>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</si>
  <si>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</si>
  <si>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</si>
  <si>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</si>
  <si>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</si>
  <si>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</si>
  <si>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</si>
  <si>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</si>
  <si>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</si>
  <si>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</si>
  <si>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</si>
  <si>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</si>
  <si>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</si>
  <si>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</si>
  <si>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</si>
  <si>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</si>
  <si>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</si>
  <si>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</si>
  <si>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</si>
  <si>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</si>
  <si>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</si>
  <si>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</si>
  <si>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</si>
  <si>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</si>
  <si>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</si>
  <si>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</si>
  <si>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</si>
  <si>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</si>
  <si>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</si>
  <si>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</si>
  <si>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</si>
  <si>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</si>
  <si>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</si>
  <si>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</si>
  <si>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</si>
  <si>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</si>
  <si>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</si>
  <si>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</si>
  <si>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</si>
  <si>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</si>
  <si>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</si>
  <si>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</si>
  <si>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</si>
  <si>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</si>
  <si>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</si>
  <si>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</si>
  <si>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</si>
  <si>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</si>
  <si>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</si>
  <si>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</si>
  <si>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</si>
  <si>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</si>
  <si>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</si>
  <si>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</si>
  <si>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</si>
  <si>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</si>
  <si>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</si>
  <si>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</si>
  <si>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</si>
  <si>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</si>
  <si>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</si>
  <si>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</si>
  <si>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</si>
  <si>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</si>
  <si>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</si>
  <si>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</si>
  <si>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</si>
  <si>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</si>
  <si>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</si>
  <si>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</si>
  <si>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</si>
  <si>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</si>
  <si>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</si>
  <si>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</si>
  <si>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</si>
  <si>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</si>
  <si>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</si>
  <si>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</si>
  <si>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</si>
  <si>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</si>
  <si>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</si>
  <si>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</si>
  <si>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</si>
  <si>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</si>
  <si>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</si>
  <si>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</si>
  <si>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</si>
  <si>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</si>
  <si>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</si>
  <si>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</si>
  <si>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</si>
  <si>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</si>
  <si>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</si>
  <si>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</si>
  <si>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</si>
  <si>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</si>
  <si>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</si>
  <si>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</si>
  <si>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</si>
  <si>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</si>
  <si>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</si>
  <si>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</si>
  <si>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</si>
  <si>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</si>
  <si>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</si>
  <si>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</si>
  <si>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</si>
  <si>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</si>
  <si>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</si>
  <si>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</si>
  <si>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</si>
  <si>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</si>
  <si>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</si>
  <si>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</si>
  <si>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</si>
  <si>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</si>
  <si>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</si>
  <si>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</si>
  <si>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</si>
  <si>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</si>
  <si>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</si>
  <si>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</si>
  <si>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</si>
  <si>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</si>
  <si>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</si>
  <si>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</si>
  <si>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</si>
  <si>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</si>
  <si>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</si>
  <si>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</si>
  <si>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</si>
  <si>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</si>
  <si>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</si>
  <si>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</si>
  <si>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</si>
  <si>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</si>
  <si>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</si>
  <si>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</si>
  <si>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</si>
  <si>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</si>
  <si>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</si>
  <si>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</si>
  <si>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</si>
  <si>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</si>
  <si>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</si>
  <si>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</si>
  <si>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</si>
  <si>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</si>
  <si>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</si>
  <si>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</si>
  <si>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</si>
  <si>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</si>
  <si>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</si>
  <si>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</si>
  <si>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</si>
  <si>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</si>
  <si>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</si>
  <si>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</si>
  <si>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</si>
  <si>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</si>
  <si>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</si>
  <si>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</si>
  <si>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</si>
  <si>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</si>
  <si>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</si>
  <si>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</si>
  <si>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</si>
  <si>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</si>
  <si>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</si>
  <si>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</si>
  <si>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</si>
  <si>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</si>
  <si>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</si>
  <si>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</si>
  <si>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</si>
  <si>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</si>
  <si>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</si>
  <si>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</si>
  <si>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</si>
  <si>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</si>
  <si>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</si>
  <si>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</si>
  <si>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</si>
  <si>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</si>
  <si>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</si>
  <si>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</si>
  <si>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</si>
  <si>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</si>
  <si>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</si>
  <si>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</si>
  <si>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</si>
  <si>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</si>
  <si>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</si>
  <si>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</si>
  <si>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</si>
  <si>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</si>
  <si>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</si>
  <si>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</si>
  <si>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</si>
  <si>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</si>
  <si>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</si>
  <si>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</si>
  <si>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</si>
  <si>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</si>
  <si>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</si>
  <si>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</si>
  <si>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</si>
  <si>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</si>
  <si>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</si>
  <si>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</si>
  <si>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</si>
  <si>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</si>
  <si>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</si>
  <si>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</si>
  <si>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</si>
  <si>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</si>
  <si>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</si>
  <si>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</si>
  <si>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</si>
  <si>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</si>
  <si>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</si>
  <si>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</si>
  <si>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</si>
  <si>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</si>
  <si>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</si>
  <si>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</si>
  <si>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</si>
  <si>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</si>
  <si>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</si>
  <si>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</si>
  <si>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</si>
  <si>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</si>
  <si>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</si>
  <si>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</si>
  <si>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</si>
  <si>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</si>
  <si>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</si>
  <si>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</si>
  <si>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</si>
  <si>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</si>
  <si>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</si>
  <si>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</si>
  <si>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</si>
  <si>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</si>
  <si>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</si>
  <si>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</si>
  <si>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</si>
  <si>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</si>
  <si>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</si>
  <si>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</si>
  <si>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</si>
  <si>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</si>
  <si>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</si>
  <si>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</si>
  <si>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</si>
  <si>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</si>
  <si>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</si>
  <si>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</si>
  <si>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</si>
  <si>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</si>
  <si>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</si>
  <si>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</si>
  <si>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</si>
  <si>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</si>
  <si>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</si>
  <si>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</si>
  <si>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</si>
  <si>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</si>
  <si>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</si>
  <si>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</si>
  <si>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</si>
  <si>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</si>
  <si>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</si>
  <si>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</si>
  <si>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</si>
  <si>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</si>
  <si>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</si>
  <si>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</si>
  <si>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</si>
  <si>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</si>
  <si>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</si>
  <si>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</si>
  <si>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</si>
  <si>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</si>
  <si>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</si>
  <si>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</si>
  <si>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</si>
  <si>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</si>
  <si>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</si>
  <si>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</si>
  <si>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</si>
  <si>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</si>
  <si>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</si>
  <si>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</si>
  <si>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</si>
  <si>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</si>
  <si>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</si>
  <si>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</si>
  <si>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</si>
  <si>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</si>
  <si>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</si>
  <si>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</si>
  <si>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</si>
  <si>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</si>
  <si>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</si>
  <si>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</si>
  <si>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</si>
  <si>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</si>
  <si>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</si>
  <si>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</si>
  <si>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</si>
  <si>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</si>
  <si>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</si>
  <si>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</si>
  <si>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</si>
  <si>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</si>
  <si>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</si>
  <si>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</si>
  <si>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</si>
  <si>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</si>
  <si>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</si>
  <si>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</si>
  <si>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</si>
  <si>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</si>
  <si>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</si>
  <si>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</si>
  <si>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</si>
  <si>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</si>
  <si>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</si>
  <si>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</si>
  <si>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</si>
  <si>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</si>
  <si>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</si>
  <si>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</si>
  <si>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</si>
  <si>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</si>
  <si>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</si>
  <si>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</si>
  <si>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</si>
  <si>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</si>
  <si>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</si>
  <si>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</si>
  <si>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</si>
  <si>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</si>
  <si>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</si>
  <si>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</si>
  <si>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</si>
  <si>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</si>
  <si>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</si>
  <si>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</si>
  <si>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</si>
  <si>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</si>
  <si>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</si>
  <si>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</si>
  <si>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</si>
  <si>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</si>
  <si>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</si>
  <si>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</si>
  <si>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</si>
  <si>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</si>
  <si>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</si>
  <si>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</si>
  <si>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</si>
  <si>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</si>
  <si>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</si>
  <si>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</si>
  <si>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</si>
  <si>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</si>
  <si>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</si>
  <si>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</si>
  <si>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</si>
  <si>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</si>
  <si>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</si>
  <si>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</si>
  <si>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</si>
  <si>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</si>
  <si>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</si>
  <si>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</si>
  <si>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</si>
  <si>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</si>
  <si>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</si>
  <si>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</si>
  <si>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</si>
  <si>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</si>
  <si>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</si>
  <si>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</si>
  <si>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</si>
  <si>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</si>
  <si>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</si>
  <si>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</si>
  <si>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</si>
  <si>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</si>
  <si>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</si>
  <si>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</si>
  <si>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</si>
  <si>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</si>
  <si>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</si>
  <si>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</si>
  <si>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</si>
  <si>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</si>
  <si>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</si>
  <si>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</si>
  <si>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</si>
  <si>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</si>
  <si>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</si>
  <si>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</si>
  <si>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</si>
  <si>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</si>
  <si>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</si>
  <si>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</si>
  <si>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</si>
  <si>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</si>
  <si>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</si>
  <si>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</si>
  <si>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</si>
  <si>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</si>
  <si>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</si>
  <si>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</si>
  <si>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</si>
  <si>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</si>
  <si>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</si>
  <si>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</si>
  <si>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</si>
  <si>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</si>
  <si>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</si>
  <si>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</si>
  <si>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</si>
  <si>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</si>
  <si>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</si>
  <si>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</si>
  <si>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</si>
  <si>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</si>
  <si>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</si>
  <si>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</si>
  <si>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</si>
  <si>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</si>
  <si>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</si>
  <si>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</si>
  <si>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</si>
  <si>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</si>
  <si>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</si>
  <si>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</si>
  <si>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</si>
  <si>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</si>
  <si>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</si>
  <si>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</si>
  <si>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</si>
  <si>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</si>
  <si>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</si>
  <si>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</si>
  <si>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</si>
  <si>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</si>
  <si>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</si>
  <si>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</si>
  <si>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</si>
  <si>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</si>
  <si>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</si>
  <si>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</si>
  <si>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</si>
  <si>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</si>
  <si>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</si>
  <si>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</si>
  <si>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</si>
  <si>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</si>
  <si>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</si>
  <si>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</si>
  <si>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</si>
  <si>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</si>
  <si>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</si>
  <si>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</si>
  <si>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</si>
  <si>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</si>
  <si>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</si>
  <si>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</si>
  <si>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</si>
  <si>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</si>
  <si>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</si>
  <si>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</si>
  <si>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</si>
  <si>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</si>
  <si>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</si>
  <si>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</si>
  <si>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</si>
  <si>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</si>
  <si>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</si>
  <si>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</si>
  <si>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</si>
  <si>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</si>
  <si>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</si>
  <si>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</si>
  <si>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</si>
  <si>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</si>
  <si>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</si>
  <si>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</si>
  <si>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</si>
  <si>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</si>
  <si>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</si>
  <si>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</si>
  <si>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</si>
  <si>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</si>
  <si>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</si>
  <si>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</si>
  <si>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</si>
  <si>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</si>
  <si>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</si>
  <si>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</si>
  <si>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</si>
  <si>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</si>
  <si>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</si>
  <si>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</si>
  <si>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</si>
  <si>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</si>
  <si>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</si>
  <si>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</si>
  <si>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</si>
  <si>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</si>
  <si>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</si>
  <si>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</si>
  <si>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</si>
  <si>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</si>
  <si>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</si>
  <si>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</si>
  <si>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</si>
  <si>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</si>
  <si>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</si>
  <si>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</si>
  <si>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</si>
  <si>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</si>
  <si>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</si>
  <si>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</si>
  <si>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</si>
  <si>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</si>
  <si>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</si>
  <si>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</si>
  <si>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</si>
  <si>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</si>
  <si>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</si>
  <si>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</si>
  <si>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</si>
  <si>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</si>
  <si>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</si>
  <si>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</si>
  <si>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</si>
  <si>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</si>
  <si>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</si>
  <si>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</si>
  <si>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</si>
  <si>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</si>
  <si>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</si>
  <si>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</si>
  <si>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</si>
  <si>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</si>
  <si>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</si>
  <si>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</si>
  <si>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</si>
  <si>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</si>
  <si>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</si>
  <si>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</si>
  <si>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</si>
  <si>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</si>
  <si>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</si>
  <si>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</si>
  <si>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</si>
  <si>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</si>
  <si>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</si>
  <si>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</si>
  <si>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</si>
  <si>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</si>
  <si>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</si>
  <si>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</si>
  <si>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</si>
  <si>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</si>
  <si>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</si>
  <si>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</si>
  <si>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</si>
  <si>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</si>
  <si>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</si>
  <si>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</si>
  <si>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</si>
  <si>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</si>
  <si>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</si>
  <si>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</si>
  <si>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</si>
  <si>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</si>
  <si>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</si>
  <si>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</si>
  <si>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</si>
  <si>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</si>
  <si>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</si>
  <si>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</si>
  <si>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</si>
  <si>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</si>
  <si>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</si>
  <si>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</si>
  <si>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</si>
  <si>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</si>
  <si>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</si>
  <si>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</si>
  <si>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</si>
  <si>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</si>
  <si>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</si>
  <si>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</si>
  <si>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</si>
  <si>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</si>
  <si>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</si>
  <si>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</si>
  <si>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</si>
  <si>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</si>
  <si>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</si>
  <si>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</si>
  <si>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</si>
  <si>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</si>
  <si>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</si>
  <si>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</si>
  <si>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</si>
  <si>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</si>
  <si>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</si>
  <si>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</si>
  <si>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</si>
  <si>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</si>
  <si>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</si>
  <si>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</si>
  <si>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</si>
  <si>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</si>
  <si>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</si>
  <si>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</si>
  <si>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</si>
  <si>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</si>
  <si>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</si>
  <si>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</si>
  <si>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</si>
  <si>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</si>
  <si>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</si>
  <si>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</si>
  <si>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</si>
  <si>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</si>
  <si>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</si>
  <si>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</si>
  <si>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</si>
  <si>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</si>
  <si>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</si>
  <si>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</si>
  <si>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</si>
  <si>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</si>
  <si>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</si>
  <si>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</si>
  <si>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</si>
  <si>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</si>
  <si>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</si>
  <si>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</si>
  <si>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</si>
  <si>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</si>
  <si>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</si>
  <si>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</si>
  <si>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</si>
  <si>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</si>
  <si>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</si>
  <si>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</si>
  <si>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</si>
  <si>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</si>
  <si>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</si>
  <si>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</si>
  <si>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</si>
  <si>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</si>
  <si>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</si>
  <si>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</si>
  <si>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</si>
  <si>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</si>
  <si>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</si>
  <si>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</si>
  <si>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</si>
  <si>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</si>
  <si>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</si>
  <si>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</si>
  <si>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</si>
  <si>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</si>
  <si>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</si>
  <si>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</si>
  <si>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</si>
  <si>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</si>
  <si>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</si>
  <si>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</si>
  <si>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</si>
  <si>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</si>
  <si>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</si>
  <si>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</si>
  <si>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</si>
  <si>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</si>
  <si>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</si>
  <si>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</si>
  <si>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</si>
  <si>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</si>
  <si>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</si>
  <si>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</si>
  <si>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</si>
  <si>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</si>
  <si>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</si>
  <si>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</si>
  <si>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</si>
  <si>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</si>
  <si>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</si>
  <si>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</si>
  <si>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</si>
  <si>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</si>
  <si>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</si>
  <si>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</si>
  <si>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</si>
  <si>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</si>
  <si>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</si>
  <si>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</si>
  <si>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</si>
  <si>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</si>
  <si>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</si>
  <si>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</si>
  <si>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</si>
  <si>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</si>
  <si>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</si>
  <si>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</si>
  <si>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</si>
  <si>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</si>
  <si>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</si>
  <si>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</si>
  <si>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</si>
  <si>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</si>
  <si>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</si>
  <si>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</si>
  <si>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</si>
  <si>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</si>
  <si>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</si>
  <si>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</si>
  <si>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</si>
  <si>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</si>
  <si>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</si>
  <si>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</si>
  <si>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</si>
  <si>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</si>
  <si>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</si>
  <si>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</si>
  <si>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</si>
  <si>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</si>
  <si>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</si>
  <si>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</si>
  <si>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</si>
  <si>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</si>
  <si>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</si>
  <si>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</si>
  <si>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</si>
  <si>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</si>
  <si>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</si>
  <si>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</si>
  <si>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</si>
  <si>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</si>
  <si>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</si>
  <si>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</si>
  <si>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</si>
  <si>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</si>
  <si>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</si>
  <si>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</si>
  <si>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</si>
  <si>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</si>
  <si>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</si>
  <si>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</si>
  <si>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</si>
  <si>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</si>
  <si>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</si>
  <si>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</si>
  <si>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</si>
  <si>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</si>
  <si>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</si>
  <si>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</si>
  <si>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</si>
  <si>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</si>
  <si>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</si>
  <si>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</si>
  <si>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</si>
  <si>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</si>
  <si>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</si>
  <si>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</si>
  <si>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</si>
  <si>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</si>
  <si>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</si>
  <si>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</si>
  <si>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</si>
  <si>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</si>
  <si>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</si>
  <si>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</si>
  <si>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</si>
  <si>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</si>
  <si>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</si>
  <si>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</si>
  <si>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</si>
  <si>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</si>
  <si>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</si>
  <si>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</si>
  <si>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</si>
  <si>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</si>
  <si>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</si>
  <si>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</si>
  <si>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</si>
  <si>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</si>
  <si>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</si>
  <si>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</si>
  <si>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</si>
  <si>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</si>
  <si>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</si>
  <si>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</si>
  <si>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</si>
  <si>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</si>
  <si>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</si>
  <si>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</si>
  <si>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</si>
  <si>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</si>
  <si>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</si>
  <si>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</si>
  <si>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</si>
  <si>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</si>
  <si>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</si>
  <si>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</si>
  <si>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</si>
  <si>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</si>
  <si>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</si>
  <si>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</si>
  <si>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</si>
  <si>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</si>
  <si>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</si>
  <si>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</si>
  <si>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</si>
  <si>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</si>
  <si>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</si>
  <si>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</si>
  <si>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</si>
  <si>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</si>
  <si>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</si>
  <si>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</si>
  <si>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</si>
  <si>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</si>
  <si>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</si>
  <si>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</si>
  <si>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</si>
  <si>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</si>
  <si>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</si>
  <si>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</si>
  <si>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</si>
  <si>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</si>
  <si>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</si>
  <si>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</si>
  <si>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</si>
  <si>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</si>
  <si>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</si>
  <si>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</si>
  <si>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</si>
  <si>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</si>
  <si>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</si>
  <si>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</si>
  <si>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</si>
  <si>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</si>
  <si>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</si>
  <si>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</si>
  <si>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</si>
  <si>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</si>
  <si>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</si>
  <si>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</si>
  <si>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</si>
  <si>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</si>
  <si>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</si>
  <si>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</si>
  <si>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</si>
  <si>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</si>
  <si>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</si>
  <si>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</si>
  <si>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</si>
  <si>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</si>
  <si>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</si>
  <si>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</si>
  <si>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</si>
  <si>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</si>
  <si>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</si>
  <si>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</si>
  <si>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</si>
  <si>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</si>
  <si>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</si>
  <si>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</si>
  <si>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</si>
  <si>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</si>
  <si>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</si>
  <si>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</si>
  <si>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</si>
  <si>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</si>
  <si>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</si>
  <si>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</si>
  <si>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</si>
  <si>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</si>
  <si>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</si>
  <si>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</si>
  <si>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</si>
  <si>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</si>
  <si>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</si>
  <si>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</si>
  <si>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</si>
  <si>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</si>
  <si>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</si>
  <si>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</si>
  <si>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</si>
  <si>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</si>
  <si>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</si>
  <si>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</si>
  <si>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</si>
  <si>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</si>
  <si>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</si>
  <si>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</si>
  <si>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</si>
  <si>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</si>
  <si>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</si>
  <si>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</si>
  <si>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</si>
  <si>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</si>
  <si>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</si>
  <si>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</si>
  <si>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</si>
  <si>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</si>
  <si>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</si>
  <si>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</si>
  <si>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</si>
  <si>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</si>
  <si>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</si>
  <si>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</si>
  <si>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</si>
  <si>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</si>
  <si>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</si>
  <si>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</si>
  <si>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</si>
  <si>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</si>
  <si>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</si>
  <si>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</si>
  <si>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</si>
  <si>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</si>
  <si>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</si>
  <si>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</si>
  <si>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</si>
  <si>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</si>
  <si>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</si>
  <si>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</si>
  <si>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</si>
  <si>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</si>
  <si>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</si>
  <si>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</si>
  <si>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</si>
  <si>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</si>
  <si>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</si>
  <si>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</si>
  <si>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</si>
  <si>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</si>
  <si>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</si>
  <si>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</si>
  <si>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</si>
  <si>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</si>
  <si>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</si>
  <si>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</si>
  <si>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</si>
  <si>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</si>
  <si>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</si>
  <si>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</si>
  <si>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</si>
  <si>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</si>
  <si>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</si>
  <si>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</si>
  <si>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</si>
  <si>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</si>
  <si>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</si>
  <si>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</si>
  <si>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</si>
  <si>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</si>
  <si>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</si>
  <si>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</si>
  <si>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</si>
  <si>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</si>
  <si>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</si>
  <si>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</si>
  <si>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</si>
  <si>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</si>
  <si>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</si>
  <si>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</si>
  <si>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</si>
  <si>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</si>
  <si>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</si>
  <si>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</si>
  <si>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</si>
  <si>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</si>
  <si>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</si>
  <si>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</si>
  <si>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</si>
  <si>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</si>
  <si>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</si>
  <si>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</si>
  <si>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</si>
  <si>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</si>
  <si>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</si>
  <si>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</si>
  <si>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</si>
  <si>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</si>
  <si>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</si>
  <si>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</si>
  <si>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</si>
  <si>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</si>
  <si>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</si>
  <si>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</si>
  <si>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</si>
  <si>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</si>
  <si>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</si>
  <si>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</si>
  <si>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</si>
  <si>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</si>
  <si>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</si>
  <si>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</si>
  <si>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</si>
  <si>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</si>
  <si>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</si>
  <si>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</si>
  <si>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</si>
  <si>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</si>
  <si>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</si>
  <si>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</si>
  <si>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</si>
  <si>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</si>
  <si>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</si>
  <si>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</si>
  <si>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</si>
  <si>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</si>
  <si>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</si>
  <si>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</si>
  <si>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</si>
  <si>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</si>
  <si>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</si>
  <si>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</si>
  <si>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</si>
  <si>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</si>
  <si>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</si>
  <si>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</si>
  <si>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</si>
  <si>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</si>
  <si>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</si>
  <si>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</si>
  <si>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</si>
  <si>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</si>
  <si>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</si>
  <si>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</si>
  <si>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</si>
  <si>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</si>
  <si>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</si>
  <si>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</si>
  <si>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</si>
  <si>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</si>
  <si>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</si>
  <si>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</si>
  <si>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</si>
  <si>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</si>
  <si>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</si>
  <si>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</si>
  <si>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</si>
  <si>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</si>
  <si>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</si>
  <si>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</si>
  <si>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</si>
  <si>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</si>
  <si>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</si>
  <si>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</si>
  <si>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</si>
  <si>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</si>
  <si>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</si>
  <si>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</si>
  <si>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</si>
  <si>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</si>
  <si>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</si>
  <si>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</si>
  <si>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</si>
  <si>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</si>
  <si>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</si>
  <si>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</si>
  <si>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</si>
  <si>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</si>
  <si>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</si>
  <si>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</si>
  <si>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</si>
  <si>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</si>
  <si>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</si>
  <si>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</si>
  <si>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</si>
  <si>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</si>
  <si>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</si>
  <si>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</si>
  <si>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</si>
  <si>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</si>
  <si>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</si>
  <si>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</si>
  <si>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</si>
  <si>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</si>
  <si>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</si>
  <si>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</si>
  <si>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</si>
  <si>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</si>
  <si>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</si>
  <si>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</si>
  <si>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</si>
  <si>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</si>
  <si>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</si>
  <si>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</si>
  <si>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</si>
  <si>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</si>
  <si>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</si>
  <si>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</si>
  <si>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</si>
  <si>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</si>
  <si>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</si>
  <si>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</si>
  <si>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</si>
  <si>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</si>
  <si>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</si>
  <si>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</si>
  <si>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</si>
  <si>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</si>
  <si>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</si>
  <si>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</si>
  <si>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</si>
  <si>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</si>
  <si>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</si>
  <si>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</si>
  <si>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</si>
  <si>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</si>
  <si>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</si>
  <si>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</si>
  <si>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</si>
  <si>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</si>
  <si>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</si>
  <si>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</si>
  <si>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</si>
  <si>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</si>
  <si>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</si>
  <si>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</si>
  <si>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</si>
  <si>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</si>
  <si>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</si>
  <si>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</si>
  <si>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</si>
  <si>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</si>
  <si>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</si>
  <si>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</si>
  <si>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</si>
  <si>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</si>
  <si>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</si>
  <si>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</si>
  <si>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</si>
  <si>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</si>
  <si>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</si>
  <si>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</si>
  <si>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</si>
  <si>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</si>
  <si>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</si>
  <si>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</si>
  <si>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</si>
  <si>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</si>
  <si>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</si>
  <si>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</si>
  <si>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</si>
  <si>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</si>
  <si>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</si>
  <si>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</si>
  <si>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</si>
  <si>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</si>
  <si>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</si>
  <si>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</si>
  <si>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</si>
  <si>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</si>
  <si>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</si>
  <si>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</si>
  <si>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</si>
  <si>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</si>
  <si>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</si>
  <si>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</si>
  <si>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</si>
  <si>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</si>
  <si>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</si>
  <si>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</si>
  <si>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</si>
  <si>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</si>
  <si>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</si>
  <si>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</si>
  <si>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</si>
  <si>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</si>
  <si>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</si>
  <si>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</si>
  <si>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</si>
  <si>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</si>
  <si>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</si>
  <si>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</si>
  <si>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</si>
  <si>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</si>
  <si>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</si>
  <si>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</si>
  <si>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</si>
  <si>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</si>
  <si>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</si>
  <si>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</si>
  <si>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</si>
  <si>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</si>
  <si>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</si>
  <si>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</si>
  <si>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</si>
  <si>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</si>
  <si>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</si>
  <si>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</si>
  <si>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</si>
  <si>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</si>
  <si>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</si>
  <si>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</si>
  <si>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</si>
  <si>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</si>
  <si>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</si>
  <si>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</si>
  <si>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</si>
  <si>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</si>
  <si>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</si>
  <si>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</si>
  <si>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</si>
  <si>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</si>
  <si>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</si>
  <si>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</si>
  <si>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</si>
  <si>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</si>
  <si>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</si>
  <si>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</si>
  <si>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</si>
  <si>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</si>
  <si>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</si>
  <si>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</si>
  <si>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</si>
  <si>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</si>
  <si>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</si>
  <si>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</si>
  <si>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</si>
  <si>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</si>
  <si>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</si>
  <si>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</si>
  <si>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</si>
  <si>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</si>
  <si>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</si>
  <si>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</si>
  <si>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</si>
  <si>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</si>
  <si>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</si>
  <si>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</si>
  <si>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</si>
  <si>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</si>
  <si>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</si>
  <si>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</si>
  <si>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</si>
  <si>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</si>
  <si>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</si>
  <si>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</si>
  <si>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</si>
  <si>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</si>
  <si>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</si>
  <si>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</si>
  <si>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</si>
  <si>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</si>
  <si>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</si>
  <si>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</si>
  <si>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</si>
  <si>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</si>
  <si>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</si>
  <si>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</si>
  <si>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</si>
  <si>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</si>
  <si>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</si>
  <si>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</si>
  <si>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</si>
  <si>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</si>
  <si>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</si>
  <si>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</si>
  <si>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</si>
  <si>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</si>
  <si>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</si>
  <si>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</si>
  <si>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</si>
  <si>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</si>
  <si>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</si>
  <si>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</si>
  <si>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</si>
  <si>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</si>
  <si>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</si>
  <si>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</si>
  <si>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</si>
  <si>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</si>
  <si>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</si>
  <si>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</si>
  <si>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</si>
  <si>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</si>
  <si>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</si>
  <si>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</si>
  <si>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</si>
  <si>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</si>
  <si>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</si>
  <si>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</si>
  <si>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</si>
  <si>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</si>
  <si>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</si>
  <si>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</si>
  <si>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</si>
  <si>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</si>
  <si>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</si>
  <si>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</si>
  <si>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</si>
  <si>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</si>
  <si>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</si>
  <si>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</si>
  <si>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</si>
  <si>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</si>
  <si>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</si>
  <si>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</si>
  <si>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</si>
  <si>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</si>
  <si>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</si>
  <si>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</si>
  <si>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</si>
  <si>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</si>
  <si>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</si>
  <si>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</si>
  <si>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</si>
  <si>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</si>
  <si>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</si>
  <si>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</si>
  <si>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</si>
  <si>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</si>
  <si>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</si>
  <si>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</si>
  <si>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</si>
  <si>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</si>
  <si>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</si>
  <si>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</si>
  <si>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</si>
  <si>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</si>
  <si>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</si>
  <si>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</si>
  <si>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</si>
  <si>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</si>
  <si>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</si>
  <si>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</si>
  <si>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</si>
  <si>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</si>
  <si>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</si>
  <si>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</si>
  <si>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</si>
  <si>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</si>
  <si>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</si>
  <si>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</si>
  <si>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</si>
  <si>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</si>
  <si>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</si>
  <si>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</si>
  <si>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</si>
  <si>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</si>
  <si>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</si>
  <si>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</si>
  <si>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</si>
  <si>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</si>
  <si>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</si>
  <si>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</si>
  <si>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</si>
  <si>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</si>
  <si>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</si>
  <si>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</si>
  <si>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</si>
  <si>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</si>
  <si>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</si>
  <si>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</si>
  <si>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</si>
  <si>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</si>
  <si>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</si>
  <si>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</si>
  <si>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</si>
  <si>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</si>
  <si>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</si>
  <si>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</si>
  <si>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</si>
  <si>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</si>
  <si>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</si>
  <si>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</si>
  <si>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</si>
  <si>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</si>
  <si>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</si>
  <si>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</si>
  <si>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</si>
  <si>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</si>
  <si>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</si>
  <si>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</si>
  <si>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</si>
  <si>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</si>
  <si>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</si>
  <si>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</si>
  <si>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</si>
  <si>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</si>
  <si>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</si>
  <si>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</si>
  <si>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</si>
  <si>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</si>
  <si>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</si>
  <si>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</si>
  <si>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</si>
  <si>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</si>
  <si>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</si>
  <si>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</si>
  <si>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</si>
  <si>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</si>
  <si>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</si>
  <si>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</si>
  <si>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</si>
  <si>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</si>
  <si>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</si>
  <si>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</si>
  <si>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</si>
  <si>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</si>
  <si>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</si>
  <si>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</si>
  <si>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</si>
  <si>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</si>
  <si>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</si>
  <si>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</si>
  <si>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</si>
  <si>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</si>
  <si>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</si>
  <si>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</si>
  <si>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</si>
  <si>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</si>
  <si>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</si>
  <si>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</si>
  <si>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</si>
  <si>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</si>
  <si>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</si>
  <si>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</si>
  <si>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</si>
  <si>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</si>
  <si>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</si>
  <si>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</si>
  <si>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</si>
  <si>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</si>
  <si>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</si>
  <si>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</si>
  <si>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</si>
  <si>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</si>
  <si>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</si>
  <si>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</si>
  <si>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</si>
  <si>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</si>
  <si>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</si>
  <si>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</si>
  <si>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</si>
  <si>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</si>
  <si>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</si>
  <si>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</si>
  <si>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</si>
  <si>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</si>
  <si>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</si>
  <si>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</si>
  <si>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</si>
  <si>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</si>
  <si>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</si>
  <si>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</si>
  <si>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</si>
  <si>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</si>
  <si>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</si>
  <si>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</si>
  <si>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</si>
  <si>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</si>
  <si>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</si>
  <si>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</si>
  <si>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</si>
  <si>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</si>
  <si>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</si>
  <si>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</si>
  <si>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</si>
  <si>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</si>
  <si>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</si>
  <si>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</si>
  <si>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</si>
  <si>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</si>
  <si>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</si>
  <si>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</si>
  <si>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</si>
  <si>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</si>
  <si>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</si>
  <si>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</si>
  <si>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</si>
  <si>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</si>
  <si>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</si>
  <si>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</si>
  <si>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</si>
  <si>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</si>
  <si>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</si>
  <si>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</si>
  <si>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</si>
  <si>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</si>
  <si>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</si>
  <si>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</si>
  <si>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</si>
  <si>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</si>
  <si>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</si>
  <si>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</si>
  <si>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</si>
  <si>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</si>
  <si>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</si>
  <si>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</si>
  <si>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</si>
  <si>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</si>
  <si>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</si>
  <si>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</si>
  <si>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</si>
  <si>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</si>
  <si>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</si>
  <si>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</si>
  <si>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</si>
  <si>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</si>
  <si>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</si>
  <si>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</si>
  <si>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</si>
  <si>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</si>
  <si>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</si>
  <si>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</si>
  <si>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</si>
  <si>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</si>
  <si>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</si>
  <si>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</si>
  <si>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</si>
  <si>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</si>
  <si>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</si>
  <si>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</si>
  <si>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</si>
  <si>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</si>
  <si>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</si>
  <si>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</si>
  <si>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</si>
  <si>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</si>
  <si>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</si>
  <si>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</si>
  <si>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</si>
  <si>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</si>
  <si>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</si>
  <si>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</si>
  <si>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</si>
  <si>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</si>
  <si>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</si>
  <si>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</si>
  <si>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</si>
  <si>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</si>
  <si>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</si>
  <si>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</si>
  <si>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</si>
  <si>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</si>
  <si>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</si>
  <si>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</si>
  <si>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</si>
  <si>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</si>
  <si>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</si>
  <si>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</si>
  <si>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</si>
  <si>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</si>
  <si>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</si>
  <si>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</si>
  <si>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</si>
  <si>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</si>
  <si>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</si>
  <si>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</si>
  <si>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</si>
  <si>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</si>
  <si>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</si>
  <si>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</si>
  <si>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</si>
  <si>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</si>
  <si>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</si>
  <si>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</si>
  <si>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</si>
  <si>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</si>
  <si>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</si>
  <si>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</si>
  <si>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</si>
  <si>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</si>
  <si>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</si>
  <si>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</si>
  <si>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</si>
  <si>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</si>
  <si>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</si>
  <si>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</si>
  <si>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</si>
  <si>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</si>
  <si>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</si>
  <si>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</si>
  <si>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</si>
  <si>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</si>
  <si>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</si>
  <si>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</si>
  <si>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</si>
  <si>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</si>
  <si>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</si>
  <si>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</si>
  <si>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</si>
  <si>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</si>
  <si>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</si>
  <si>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</si>
  <si>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</si>
  <si>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</si>
  <si>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</si>
  <si>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</si>
  <si>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</si>
  <si>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</si>
  <si>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</si>
  <si>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</si>
  <si>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</si>
  <si>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</si>
  <si>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</si>
  <si>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</si>
  <si>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</si>
  <si>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</si>
  <si>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</si>
  <si>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</si>
  <si>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</si>
  <si>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</si>
  <si>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</si>
  <si>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</si>
  <si>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</si>
  <si>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</si>
  <si>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</si>
  <si>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</si>
  <si>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</si>
  <si>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</si>
  <si>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</si>
  <si>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</si>
  <si>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</si>
  <si>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</si>
  <si>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</si>
  <si>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</si>
  <si>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</si>
  <si>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</si>
  <si>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</si>
  <si>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</si>
  <si>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</si>
  <si>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</si>
  <si>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</si>
  <si>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</si>
  <si>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</si>
  <si>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</si>
  <si>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</si>
  <si>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</si>
  <si>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</si>
  <si>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</si>
  <si>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</si>
  <si>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</si>
  <si>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</si>
  <si>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</si>
  <si>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</si>
  <si>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</si>
  <si>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</si>
  <si>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</si>
  <si>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</si>
  <si>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</si>
  <si>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</si>
  <si>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</si>
  <si>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</si>
  <si>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</si>
  <si>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</si>
  <si>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</si>
  <si>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</si>
  <si>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</si>
  <si>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</si>
  <si>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</si>
  <si>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</si>
  <si>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</si>
  <si>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</si>
  <si>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</si>
  <si>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</si>
  <si>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</si>
  <si>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</si>
  <si>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</si>
  <si>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</si>
  <si>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</si>
  <si>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</si>
  <si>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</si>
  <si>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</si>
  <si>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</si>
  <si>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</si>
  <si>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</si>
  <si>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</si>
  <si>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</si>
  <si>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</si>
  <si>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</si>
  <si>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</si>
  <si>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</si>
  <si>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</si>
  <si>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</si>
  <si>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</si>
  <si>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</si>
  <si>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</si>
  <si>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</si>
  <si>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</si>
  <si>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</si>
  <si>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</si>
  <si>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</si>
  <si>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</si>
  <si>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</si>
  <si>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</si>
  <si>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</si>
  <si>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</si>
  <si>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</si>
  <si>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</si>
  <si>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</si>
  <si>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</si>
  <si>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</si>
  <si>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</si>
  <si>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</si>
  <si>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</si>
  <si>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</si>
  <si>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</si>
  <si>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</si>
  <si>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</si>
  <si>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</si>
  <si>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</si>
  <si>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</si>
  <si>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</si>
  <si>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</si>
  <si>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</si>
  <si>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</si>
  <si>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</si>
  <si>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</si>
  <si>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</si>
  <si>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</si>
  <si>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</si>
  <si>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</si>
  <si>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</si>
  <si>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</si>
  <si>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</si>
  <si>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</si>
  <si>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</si>
  <si>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</si>
  <si>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</si>
  <si>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</si>
  <si>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</si>
  <si>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</si>
  <si>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</si>
  <si>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</si>
  <si>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</si>
  <si>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</si>
  <si>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</si>
  <si>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</si>
  <si>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</si>
  <si>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</si>
  <si>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</si>
  <si>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</si>
  <si>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</si>
  <si>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</si>
  <si>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</si>
  <si>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</si>
  <si>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</si>
  <si>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</si>
  <si>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</si>
  <si>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</si>
  <si>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</si>
  <si>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</si>
  <si>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</si>
  <si>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</si>
  <si>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</si>
  <si>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</si>
  <si>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</si>
  <si>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</si>
  <si>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</si>
  <si>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</si>
  <si>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</si>
  <si>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</si>
  <si>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</si>
  <si>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</si>
  <si>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</si>
  <si>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</si>
  <si>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</si>
  <si>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</si>
  <si>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</si>
  <si>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</si>
  <si>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</si>
  <si>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</si>
  <si>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</si>
  <si>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</si>
  <si>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</si>
  <si>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</si>
  <si>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</si>
  <si>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</si>
  <si>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</si>
  <si>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</si>
  <si>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</si>
  <si>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</si>
  <si>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</si>
  <si>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</si>
  <si>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</si>
  <si>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</si>
  <si>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</si>
  <si>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</si>
  <si>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</si>
  <si>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</si>
  <si>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</si>
  <si>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</si>
  <si>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</si>
  <si>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</si>
  <si>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</si>
  <si>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</si>
  <si>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</si>
  <si>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</si>
  <si>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</si>
  <si>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</si>
  <si>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</si>
  <si>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</si>
  <si>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</si>
  <si>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</si>
  <si>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</si>
  <si>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</si>
  <si>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</si>
  <si>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</si>
  <si>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</si>
  <si>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</si>
  <si>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</si>
  <si>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</si>
  <si>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</si>
  <si>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</si>
  <si>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</si>
  <si>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</si>
  <si>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</si>
  <si>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</si>
  <si>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</si>
  <si>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</si>
  <si>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</si>
  <si>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</si>
  <si>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</si>
  <si>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</si>
  <si>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</si>
  <si>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</si>
  <si>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</si>
  <si>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</si>
  <si>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</si>
  <si>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</si>
  <si>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</si>
  <si>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</si>
  <si>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</si>
  <si>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</si>
  <si>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</si>
  <si>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</si>
  <si>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</si>
  <si>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</si>
  <si>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</si>
  <si>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</si>
  <si>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</si>
  <si>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</si>
  <si>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</si>
  <si>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</si>
  <si>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</si>
  <si>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</si>
  <si>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</si>
  <si>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</si>
  <si>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</si>
  <si>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</si>
  <si>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</si>
  <si>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</si>
  <si>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</si>
  <si>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</si>
  <si>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</si>
  <si>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</si>
  <si>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</si>
  <si>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</si>
  <si>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</si>
  <si>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</si>
  <si>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</si>
  <si>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</si>
  <si>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</si>
  <si>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</si>
  <si>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</si>
  <si>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</si>
  <si>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</si>
  <si>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</si>
  <si>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</si>
  <si>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</si>
  <si>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</si>
  <si>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</si>
  <si>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</si>
  <si>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</si>
  <si>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</si>
  <si>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</si>
  <si>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</si>
  <si>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</si>
  <si>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</si>
  <si>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</si>
  <si>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</si>
  <si>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</si>
  <si>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</si>
  <si>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</si>
  <si>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</si>
  <si>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</si>
  <si>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</si>
  <si>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</si>
  <si>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</si>
  <si>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</si>
  <si>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</si>
  <si>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</si>
  <si>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</si>
  <si>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</si>
  <si>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</si>
  <si>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</si>
  <si>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</si>
  <si>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</si>
  <si>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</si>
  <si>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</si>
  <si>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</si>
  <si>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</si>
  <si>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</si>
  <si>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</si>
  <si>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</si>
  <si>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</si>
  <si>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</si>
  <si>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</si>
  <si>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</si>
  <si>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</si>
  <si>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</si>
  <si>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</si>
  <si>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</si>
  <si>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</si>
  <si>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</si>
  <si>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</si>
  <si>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</si>
  <si>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</si>
  <si>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</si>
  <si>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</si>
  <si>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</si>
  <si>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</si>
  <si>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</si>
  <si>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</si>
  <si>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</si>
  <si>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</si>
  <si>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</si>
  <si>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</si>
  <si>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</si>
  <si>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</si>
  <si>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</si>
  <si>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</si>
  <si>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</si>
  <si>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</si>
  <si>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</si>
  <si>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</si>
  <si>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</si>
  <si>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</si>
  <si>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</si>
  <si>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</si>
  <si>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</si>
  <si>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</si>
  <si>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</si>
  <si>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</si>
  <si>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</si>
  <si>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</si>
  <si>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</si>
  <si>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</si>
  <si>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</si>
  <si>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</si>
  <si>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</si>
  <si>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</si>
  <si>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</si>
  <si>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</si>
  <si>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</si>
  <si>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</si>
  <si>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</si>
  <si>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</si>
  <si>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</si>
  <si>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</si>
  <si>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</si>
  <si>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</si>
  <si>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</si>
  <si>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</si>
  <si>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</si>
  <si>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</si>
  <si>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</si>
  <si>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</si>
  <si>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</si>
  <si>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</si>
  <si>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</si>
  <si>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</si>
  <si>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</si>
  <si>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</si>
  <si>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</si>
  <si>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</si>
  <si>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</si>
  <si>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</si>
  <si>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</si>
  <si>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</si>
  <si>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</si>
  <si>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</si>
  <si>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</si>
  <si>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</si>
  <si>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</si>
  <si>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</si>
  <si>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</si>
  <si>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</si>
  <si>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</si>
  <si>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</si>
  <si>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</si>
  <si>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</si>
  <si>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</si>
  <si>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</si>
  <si>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</si>
  <si>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</si>
  <si>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</si>
  <si>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</si>
  <si>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</si>
  <si>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</si>
  <si>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</si>
  <si>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</si>
  <si>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</si>
  <si>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</si>
  <si>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</si>
  <si>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</si>
  <si>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</si>
  <si>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</si>
  <si>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</si>
  <si>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</si>
  <si>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</si>
  <si>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</si>
  <si>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</si>
  <si>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</si>
  <si>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</si>
  <si>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</si>
  <si>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</si>
  <si>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</si>
  <si>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</si>
  <si>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</si>
  <si>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</si>
  <si>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</si>
  <si>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</si>
  <si>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</si>
  <si>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</si>
  <si>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</si>
  <si>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</si>
  <si>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</si>
  <si>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</si>
  <si>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</si>
  <si>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</si>
  <si>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</si>
  <si>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</si>
  <si>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</si>
  <si>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</si>
  <si>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</si>
  <si>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</si>
  <si>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</si>
  <si>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</si>
  <si>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</si>
  <si>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</si>
  <si>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</si>
  <si>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</si>
  <si>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</si>
  <si>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</si>
  <si>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</si>
  <si>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</si>
  <si>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</si>
  <si>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</si>
  <si>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</si>
  <si>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</si>
  <si>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</si>
  <si>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</si>
  <si>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</si>
  <si>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</si>
  <si>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</si>
  <si>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</si>
  <si>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</si>
  <si>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</si>
  <si>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</si>
  <si>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</si>
  <si>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</si>
  <si>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</si>
  <si>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</si>
  <si>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</si>
  <si>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</si>
  <si>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</si>
  <si>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</si>
  <si>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</si>
  <si>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</si>
  <si>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</si>
  <si>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</si>
  <si>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</si>
  <si>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</si>
  <si>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</si>
  <si>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</si>
  <si>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</si>
  <si>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</si>
  <si>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</si>
  <si>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</si>
  <si>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</si>
  <si>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</si>
  <si>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</si>
  <si>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</si>
  <si>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</si>
  <si>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</si>
  <si>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</si>
  <si>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</si>
  <si>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</si>
  <si>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</si>
  <si>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</si>
  <si>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</si>
  <si>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</si>
  <si>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</si>
  <si>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</si>
  <si>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</si>
  <si>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</si>
  <si>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</si>
  <si>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</si>
  <si>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</si>
  <si>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</si>
  <si>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</si>
  <si>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</si>
  <si>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</si>
  <si>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</si>
  <si>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</si>
  <si>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</si>
  <si>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</si>
  <si>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</si>
  <si>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</si>
  <si>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</si>
  <si>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</si>
  <si>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</si>
  <si>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</si>
  <si>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</si>
  <si>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</si>
  <si>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</si>
  <si>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</si>
  <si>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</si>
  <si>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</si>
  <si>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</si>
  <si>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</si>
  <si>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</si>
  <si>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</si>
  <si>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</si>
  <si>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</si>
  <si>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</si>
  <si>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</si>
  <si>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</si>
  <si>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</si>
  <si>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</si>
  <si>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</si>
  <si>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</si>
  <si>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</si>
  <si>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</si>
  <si>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</si>
  <si>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</si>
  <si>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</si>
  <si>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</si>
  <si>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</si>
  <si>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</si>
  <si>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</si>
  <si>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</si>
  <si>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</si>
  <si>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</si>
  <si>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</si>
  <si>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</si>
  <si>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</si>
  <si>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</si>
  <si>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</si>
  <si>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</si>
  <si>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</si>
  <si>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</si>
  <si>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</si>
  <si>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</si>
  <si>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</si>
  <si>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</si>
  <si>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</si>
  <si>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</si>
  <si>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</si>
  <si>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</si>
  <si>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</si>
  <si>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</si>
  <si>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</si>
  <si>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</si>
  <si>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</si>
  <si>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</si>
  <si>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</si>
  <si>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</si>
  <si>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</si>
  <si>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</si>
  <si>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</si>
  <si>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</si>
  <si>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</si>
  <si>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</si>
  <si>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</si>
  <si>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</si>
  <si>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</si>
  <si>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</si>
  <si>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</si>
  <si>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</si>
  <si>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</si>
  <si>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</si>
  <si>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</si>
  <si>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</si>
  <si>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</si>
  <si>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</si>
  <si>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</si>
  <si>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</si>
  <si>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</si>
  <si>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</si>
  <si>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</si>
  <si>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</si>
  <si>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</si>
  <si>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</si>
  <si>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</si>
  <si>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</si>
  <si>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</si>
  <si>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</si>
  <si>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</si>
  <si>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</si>
  <si>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</si>
  <si>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</si>
  <si>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</si>
  <si>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</si>
  <si>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</si>
  <si>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</si>
  <si>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</si>
  <si>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</si>
  <si>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</si>
  <si>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</si>
  <si>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</si>
  <si>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</si>
  <si>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</si>
  <si>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</si>
  <si>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</si>
  <si>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</si>
  <si>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</si>
  <si>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</si>
  <si>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</si>
  <si>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</si>
  <si>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</si>
  <si>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</si>
  <si>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</si>
  <si>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</si>
  <si>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</si>
  <si>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</si>
  <si>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</si>
  <si>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</si>
  <si>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</si>
  <si>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</si>
  <si>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</si>
  <si>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</si>
  <si>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</si>
  <si>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</si>
  <si>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</si>
  <si>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</si>
  <si>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</si>
  <si>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</si>
  <si>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</si>
  <si>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</si>
  <si>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</si>
  <si>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</si>
  <si>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</si>
  <si>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</si>
  <si>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</si>
  <si>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</si>
  <si>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</si>
  <si>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</si>
  <si>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</si>
  <si>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</si>
  <si>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</si>
  <si>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</si>
  <si>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</si>
  <si>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</si>
  <si>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</si>
  <si>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</si>
  <si>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</si>
  <si>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</si>
  <si>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</si>
  <si>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</si>
  <si>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</si>
  <si>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</si>
  <si>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</si>
  <si>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</si>
  <si>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</si>
  <si>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</si>
  <si>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</si>
  <si>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</si>
  <si>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</si>
  <si>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</si>
  <si>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</si>
  <si>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</si>
  <si>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</si>
  <si>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</si>
  <si>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</si>
  <si>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</si>
  <si>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</si>
  <si>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</si>
  <si>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</si>
  <si>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</si>
  <si>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</si>
  <si>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</si>
  <si>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</si>
  <si>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</si>
  <si>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</si>
  <si>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</si>
  <si>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</si>
  <si>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</si>
  <si>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</si>
  <si>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</si>
  <si>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</si>
  <si>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</si>
  <si>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</si>
  <si>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</si>
  <si>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</si>
  <si>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</si>
  <si>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</si>
  <si>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</si>
  <si>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</si>
  <si>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</si>
  <si>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</si>
  <si>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</si>
  <si>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</si>
  <si>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</si>
  <si>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</si>
  <si>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</si>
  <si>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</si>
  <si>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</si>
  <si>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</si>
  <si>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</si>
  <si>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</si>
  <si>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</si>
  <si>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</si>
  <si>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</si>
  <si>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</si>
  <si>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</si>
  <si>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</si>
  <si>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</si>
  <si>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</si>
  <si>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</si>
  <si>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</si>
  <si>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</si>
  <si>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</si>
  <si>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</si>
  <si>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</si>
  <si>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</si>
  <si>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</si>
  <si>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</si>
  <si>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</si>
  <si>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</si>
  <si>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</si>
  <si>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</si>
  <si>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</si>
  <si>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</si>
  <si>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</si>
  <si>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</si>
  <si>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</si>
  <si>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</si>
  <si>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</si>
  <si>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</si>
  <si>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</si>
  <si>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</si>
  <si>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</si>
  <si>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</si>
  <si>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</si>
  <si>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</si>
  <si>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</si>
  <si>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</si>
  <si>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</si>
  <si>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</si>
  <si>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</si>
  <si>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</si>
  <si>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</si>
  <si>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</si>
  <si>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</si>
  <si>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</si>
  <si>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</si>
  <si>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</si>
  <si>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</si>
  <si>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</si>
  <si>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</si>
  <si>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</si>
  <si>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</si>
  <si>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</si>
  <si>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</si>
  <si>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</si>
  <si>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</si>
  <si>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</si>
  <si>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</si>
  <si>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</si>
  <si>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</si>
  <si>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</si>
  <si>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</si>
  <si>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</si>
  <si>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</si>
  <si>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</si>
  <si>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</si>
  <si>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</si>
  <si>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</si>
  <si>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</si>
  <si>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</si>
  <si>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</si>
  <si>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</si>
  <si>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</si>
  <si>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</si>
  <si>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</si>
  <si>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</si>
  <si>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</si>
  <si>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</si>
  <si>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</si>
  <si>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</si>
  <si>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</si>
  <si>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</si>
  <si>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</si>
  <si>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</si>
  <si>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</si>
  <si>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</si>
  <si>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</si>
  <si>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</si>
  <si>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</si>
  <si>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</si>
  <si>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</si>
  <si>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</si>
  <si>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</si>
  <si>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</si>
  <si>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</si>
  <si>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</si>
  <si>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</si>
  <si>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</si>
  <si>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</si>
  <si>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</si>
  <si>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</si>
  <si>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</si>
  <si>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</si>
  <si>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</si>
  <si>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</si>
  <si>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</si>
  <si>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</si>
  <si>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</si>
  <si>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</si>
  <si>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</si>
  <si>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</si>
  <si>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</si>
  <si>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</si>
  <si>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</si>
  <si>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</si>
  <si>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</si>
  <si>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</si>
  <si>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</si>
  <si>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</si>
  <si>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</si>
  <si>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</si>
  <si>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</si>
  <si>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</si>
  <si>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</si>
  <si>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</si>
  <si>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</si>
  <si>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</si>
  <si>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</si>
  <si>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</si>
  <si>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</si>
  <si>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</si>
  <si>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</si>
  <si>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</si>
  <si>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</si>
  <si>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</si>
  <si>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</si>
  <si>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</si>
  <si>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</si>
  <si>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</si>
  <si>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</si>
  <si>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</si>
  <si>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</si>
  <si>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</si>
  <si>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</si>
  <si>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</si>
  <si>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</si>
  <si>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</si>
  <si>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</si>
  <si>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</si>
  <si>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</si>
  <si>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</si>
  <si>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</si>
  <si>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</si>
  <si>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</si>
  <si>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</si>
  <si>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</si>
  <si>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</si>
  <si>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</si>
  <si>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</si>
  <si>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</si>
  <si>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</si>
  <si>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</si>
  <si>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</si>
  <si>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</si>
  <si>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</si>
  <si>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</si>
  <si>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</si>
  <si>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</si>
  <si>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</si>
  <si>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</si>
  <si>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</si>
  <si>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</si>
  <si>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</si>
  <si>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</si>
  <si>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</si>
  <si>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</si>
  <si>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</si>
  <si>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</si>
  <si>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</si>
  <si>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</si>
  <si>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</si>
  <si>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</si>
  <si>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</si>
  <si>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</si>
  <si>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</si>
  <si>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</si>
  <si>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</si>
  <si>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</si>
  <si>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</si>
  <si>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</si>
  <si>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</si>
  <si>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</si>
  <si>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</si>
  <si>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</si>
  <si>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</si>
  <si>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</si>
  <si>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</si>
  <si>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</si>
  <si>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</si>
  <si>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</si>
  <si>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</si>
  <si>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</si>
  <si>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</si>
  <si>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</si>
  <si>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</si>
  <si>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</si>
  <si>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</si>
  <si>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</si>
  <si>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</si>
  <si>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</si>
  <si>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</si>
  <si>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</si>
  <si>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</si>
  <si>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</si>
  <si>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</si>
  <si>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</si>
  <si>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</si>
  <si>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</si>
  <si>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</si>
  <si>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</si>
  <si>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</si>
  <si>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</si>
  <si>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</si>
  <si>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</si>
  <si>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</si>
  <si>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</si>
  <si>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</si>
  <si>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</si>
  <si>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</si>
  <si>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</si>
  <si>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</si>
  <si>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</si>
  <si>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</si>
  <si>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</si>
  <si>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</si>
  <si>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</si>
  <si>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</si>
  <si>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</si>
  <si>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</si>
  <si>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</si>
  <si>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</si>
  <si>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</si>
  <si>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</si>
  <si>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</si>
  <si>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</si>
  <si>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</si>
  <si>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</si>
  <si>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</si>
  <si>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</si>
  <si>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</si>
  <si>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</si>
  <si>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</si>
  <si>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</si>
  <si>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</si>
  <si>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</si>
  <si>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</si>
  <si>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</si>
  <si>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</si>
  <si>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</si>
  <si>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</si>
  <si>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</si>
  <si>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</si>
  <si>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</si>
  <si>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</si>
  <si>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</si>
  <si>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</si>
  <si>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</si>
  <si>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</si>
  <si>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</si>
  <si>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</si>
  <si>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</si>
  <si>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</si>
  <si>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</si>
  <si>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</si>
  <si>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</si>
  <si>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</si>
  <si>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</si>
  <si>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</si>
  <si>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</si>
  <si>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</si>
  <si>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</si>
  <si>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</si>
  <si>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</si>
  <si>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</si>
  <si>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</si>
  <si>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</si>
  <si>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</si>
  <si>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</si>
  <si>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</si>
  <si>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</si>
  <si>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</si>
  <si>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</si>
  <si>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</si>
  <si>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</si>
  <si>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</si>
  <si>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</si>
  <si>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</si>
  <si>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</si>
  <si>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</si>
  <si>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</si>
  <si>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</si>
  <si>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</si>
  <si>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</si>
  <si>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</si>
  <si>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</si>
  <si>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</si>
  <si>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</si>
  <si>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</si>
  <si>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</si>
  <si>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</si>
  <si>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</si>
  <si>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</si>
  <si>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</si>
  <si>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</si>
  <si>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</si>
  <si>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</si>
  <si>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</si>
  <si>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</si>
  <si>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</si>
  <si>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</si>
  <si>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</si>
  <si>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</si>
  <si>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</si>
  <si>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</si>
  <si>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</si>
  <si>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</si>
  <si>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</si>
  <si>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</si>
  <si>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</si>
  <si>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</si>
  <si>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</si>
  <si>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</si>
  <si>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</si>
  <si>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</si>
  <si>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</si>
  <si>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</si>
  <si>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</si>
  <si>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</si>
  <si>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</si>
  <si>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</si>
  <si>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</si>
  <si>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</si>
  <si>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</si>
  <si>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</si>
  <si>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</si>
  <si>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</si>
  <si>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</si>
  <si>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</si>
  <si>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</si>
  <si>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</si>
  <si>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</si>
  <si>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</si>
  <si>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</si>
  <si>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</si>
  <si>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</si>
  <si>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</si>
  <si>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</si>
  <si>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</si>
  <si>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</si>
  <si>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</si>
  <si>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</si>
  <si>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</si>
  <si>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</si>
  <si>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</si>
  <si>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</si>
  <si>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</si>
  <si>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</si>
  <si>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</si>
  <si>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</si>
  <si>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</si>
  <si>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</si>
  <si>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</si>
  <si>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</si>
  <si>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</si>
  <si>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</si>
  <si>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</si>
  <si>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</si>
  <si>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</si>
  <si>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</si>
  <si>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</si>
  <si>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</si>
  <si>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</si>
  <si>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</si>
  <si>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</si>
  <si>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</si>
  <si>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</si>
  <si>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</si>
  <si>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</si>
  <si>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</si>
  <si>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</si>
  <si>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</si>
  <si>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</si>
  <si>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</si>
  <si>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</si>
  <si>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</si>
  <si>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</si>
  <si>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</si>
  <si>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</si>
  <si>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</si>
  <si>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</si>
  <si>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</si>
  <si>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</si>
  <si>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</si>
  <si>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</si>
  <si>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</si>
  <si>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</si>
  <si>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</si>
  <si>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</si>
  <si>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</si>
  <si>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</si>
  <si>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</si>
  <si>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</si>
  <si>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</si>
  <si>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</si>
  <si>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</si>
  <si>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</si>
  <si>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</si>
  <si>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</si>
  <si>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</si>
  <si>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</si>
  <si>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</si>
  <si>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</si>
  <si>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</si>
  <si>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</si>
  <si>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</si>
  <si>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</si>
  <si>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</si>
  <si>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</si>
  <si>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</si>
  <si>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</si>
  <si>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</si>
  <si>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</si>
  <si>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</si>
  <si>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</si>
  <si>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</si>
  <si>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</si>
  <si>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</si>
  <si>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</si>
  <si>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</si>
  <si>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</si>
  <si>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</si>
  <si>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</si>
  <si>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</si>
  <si>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</si>
  <si>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</si>
  <si>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</si>
  <si>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</si>
  <si>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</si>
  <si>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</si>
  <si>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</si>
  <si>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</si>
  <si>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</si>
  <si>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</si>
  <si>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</si>
  <si>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</si>
  <si>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</si>
  <si>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</si>
  <si>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</si>
  <si>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</si>
  <si>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</si>
  <si>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</si>
  <si>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</si>
  <si>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</si>
  <si>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</si>
  <si>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</si>
  <si>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</si>
  <si>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</si>
  <si>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</si>
  <si>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</si>
  <si>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</si>
  <si>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</si>
  <si>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</si>
  <si>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</si>
  <si>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</si>
  <si>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</si>
  <si>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</si>
  <si>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</si>
  <si>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</si>
  <si>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</si>
  <si>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</si>
  <si>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</si>
  <si>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</si>
  <si>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</si>
  <si>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</si>
  <si>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</si>
  <si>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</si>
  <si>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</si>
  <si>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</si>
  <si>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</si>
  <si>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</si>
  <si>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</si>
  <si>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</si>
  <si>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</si>
  <si>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</si>
  <si>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</si>
  <si>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</si>
  <si>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</si>
  <si>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</si>
  <si>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</si>
  <si>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</si>
  <si>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</si>
  <si>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</si>
  <si>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</si>
  <si>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</si>
  <si>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</si>
  <si>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</si>
  <si>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</si>
  <si>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</si>
  <si>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</si>
  <si>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</si>
  <si>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</si>
  <si>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</si>
  <si>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</si>
  <si>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</si>
  <si>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</si>
  <si>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</si>
  <si>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</si>
  <si>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</si>
  <si>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</si>
  <si>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</si>
  <si>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</si>
  <si>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</si>
  <si>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</si>
  <si>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</si>
  <si>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</si>
  <si>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</si>
  <si>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</si>
  <si>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</si>
  <si>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</si>
  <si>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</si>
  <si>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</si>
  <si>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</si>
  <si>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</si>
  <si>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</si>
  <si>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</si>
  <si>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</si>
  <si>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</si>
  <si>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</si>
  <si>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</si>
  <si>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</si>
  <si>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</si>
  <si>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</si>
  <si>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</si>
  <si>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</si>
  <si>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</si>
  <si>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</si>
  <si>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</si>
  <si>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</si>
  <si>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</si>
  <si>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</si>
  <si>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</si>
  <si>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</si>
  <si>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</si>
  <si>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</si>
  <si>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</si>
  <si>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</si>
  <si>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</si>
  <si>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</si>
  <si>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</si>
  <si>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</si>
  <si>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</si>
  <si>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</si>
  <si>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</si>
  <si>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</si>
  <si>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</si>
  <si>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</si>
  <si>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</si>
  <si>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</si>
  <si>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</si>
  <si>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</si>
  <si>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</si>
  <si>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</si>
  <si>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</si>
  <si>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</si>
  <si>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</si>
  <si>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</si>
  <si>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</si>
  <si>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</si>
  <si>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</si>
  <si>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</si>
  <si>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</si>
  <si>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</si>
  <si>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</si>
  <si>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</si>
  <si>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</si>
  <si>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</si>
  <si>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</si>
  <si>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</si>
  <si>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</si>
  <si>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</si>
  <si>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</si>
  <si>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</si>
  <si>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</si>
  <si>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</si>
  <si>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</si>
  <si>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</si>
  <si>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</si>
  <si>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</si>
  <si>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</si>
  <si>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</si>
  <si>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</si>
  <si>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</si>
  <si>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</si>
  <si>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</si>
  <si>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</si>
  <si>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</si>
  <si>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</si>
  <si>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</si>
  <si>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</si>
  <si>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</si>
  <si>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</si>
  <si>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</si>
  <si>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</si>
  <si>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</si>
  <si>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</si>
  <si>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</si>
  <si>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</si>
  <si>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</si>
  <si>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</si>
  <si>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</si>
  <si>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</si>
  <si>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</si>
  <si>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</si>
  <si>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</si>
  <si>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</si>
  <si>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</si>
  <si>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</si>
  <si>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</si>
  <si>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</si>
  <si>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</si>
  <si>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</si>
  <si>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</si>
  <si>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</si>
  <si>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</si>
  <si>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</si>
  <si>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</si>
  <si>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</si>
  <si>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</si>
  <si>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</si>
  <si>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</si>
  <si>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</si>
  <si>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</si>
  <si>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</si>
  <si>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</si>
  <si>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</si>
  <si>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</si>
  <si>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</si>
  <si>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</si>
  <si>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</si>
  <si>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</si>
  <si>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</si>
  <si>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</si>
  <si>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</si>
  <si>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</si>
  <si>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</si>
  <si>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</si>
  <si>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</si>
  <si>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</si>
  <si>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</si>
  <si>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</si>
  <si>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</si>
  <si>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</si>
  <si>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</si>
  <si>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</si>
  <si>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</si>
  <si>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</si>
  <si>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</si>
  <si>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</si>
  <si>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</si>
  <si>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</si>
  <si>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</si>
  <si>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</si>
  <si>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</si>
  <si>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</si>
  <si>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</si>
  <si>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</si>
  <si>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</si>
  <si>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</si>
  <si>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</si>
  <si>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</si>
  <si>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</si>
  <si>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</si>
  <si>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</si>
  <si>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</si>
  <si>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</si>
  <si>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</si>
  <si>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</si>
  <si>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</si>
  <si>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</si>
  <si>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</si>
  <si>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</si>
  <si>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</si>
  <si>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</si>
  <si>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</si>
  <si>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</si>
  <si>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</si>
  <si>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</si>
  <si>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</si>
  <si>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</si>
  <si>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</si>
  <si>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</si>
  <si>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</si>
  <si>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</si>
  <si>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</si>
  <si>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</si>
  <si>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</si>
  <si>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</si>
  <si>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</si>
  <si>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</si>
  <si>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</si>
  <si>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</si>
  <si>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</si>
  <si>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</si>
  <si>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</si>
  <si>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</si>
  <si>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</si>
  <si>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</si>
  <si>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</si>
  <si>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</si>
  <si>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</si>
  <si>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</si>
  <si>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</si>
  <si>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</si>
  <si>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</si>
  <si>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</si>
  <si>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</si>
  <si>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</si>
  <si>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</si>
  <si>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</si>
  <si>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</si>
  <si>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</si>
  <si>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</si>
  <si>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</si>
  <si>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</si>
  <si>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</si>
  <si>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</si>
  <si>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</si>
  <si>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</si>
  <si>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</si>
  <si>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</si>
  <si>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</si>
  <si>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</si>
  <si>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</si>
  <si>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</si>
  <si>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</si>
  <si>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</si>
  <si>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</si>
  <si>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</si>
  <si>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</si>
  <si>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</si>
  <si>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</si>
  <si>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</si>
  <si>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</si>
  <si>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</si>
  <si>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</si>
  <si>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</si>
  <si>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</si>
  <si>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</si>
  <si>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</si>
  <si>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</si>
  <si>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</si>
  <si>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</si>
  <si>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</si>
  <si>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</si>
  <si>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</si>
  <si>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</si>
  <si>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</si>
  <si>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</si>
  <si>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</si>
  <si>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</si>
  <si>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</si>
  <si>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</si>
  <si>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</si>
  <si>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</si>
  <si>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</si>
  <si>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</si>
  <si>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</si>
  <si>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</si>
  <si>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</si>
  <si>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</si>
  <si>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</si>
  <si>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</si>
  <si>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</si>
  <si>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</si>
  <si>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</si>
  <si>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</si>
  <si>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</si>
  <si>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</si>
  <si>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</si>
  <si>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</si>
  <si>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</si>
  <si>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</si>
  <si>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</si>
  <si>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</si>
  <si>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</si>
  <si>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</si>
  <si>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</si>
  <si>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</si>
  <si>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</si>
  <si>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</si>
  <si>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</si>
  <si>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</si>
  <si>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</si>
  <si>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</si>
  <si>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</si>
  <si>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</si>
  <si>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</si>
  <si>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</si>
  <si>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</si>
  <si>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</si>
  <si>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</si>
  <si>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</si>
  <si>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</si>
  <si>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</si>
  <si>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</si>
  <si>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</si>
  <si>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</si>
  <si>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</si>
  <si>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</si>
  <si>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</si>
  <si>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</si>
  <si>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</si>
  <si>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</si>
  <si>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</si>
  <si>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</si>
  <si>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</si>
  <si>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</si>
  <si>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</si>
  <si>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</si>
  <si>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</si>
  <si>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</si>
  <si>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</si>
  <si>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</si>
  <si>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</si>
  <si>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</si>
  <si>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</si>
  <si>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</si>
  <si>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</si>
  <si>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</si>
  <si>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</si>
  <si>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</si>
  <si>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</si>
  <si>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</si>
  <si>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</si>
  <si>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</si>
  <si>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</si>
  <si>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</si>
  <si>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</si>
  <si>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</si>
  <si>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</si>
  <si>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</si>
  <si>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</si>
  <si>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</si>
  <si>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</si>
  <si>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</si>
  <si>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</si>
  <si>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</si>
  <si>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</si>
  <si>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</si>
  <si>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</si>
  <si>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</si>
  <si>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</si>
  <si>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</si>
  <si>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</si>
  <si>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</si>
  <si>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</si>
  <si>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</si>
  <si>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</si>
  <si>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</si>
  <si>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</si>
  <si>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</si>
  <si>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</si>
  <si>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</si>
  <si>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</si>
  <si>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</si>
  <si>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</si>
  <si>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</si>
  <si>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</si>
  <si>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</si>
  <si>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</si>
  <si>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</si>
  <si>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</si>
  <si>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</si>
  <si>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</si>
  <si>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</si>
  <si>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</si>
  <si>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</si>
  <si>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</si>
  <si>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</si>
  <si>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</si>
  <si>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</si>
  <si>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</si>
  <si>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</si>
  <si>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</si>
  <si>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</si>
  <si>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</si>
  <si>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</si>
  <si>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</si>
  <si>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</si>
  <si>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</si>
  <si>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</si>
  <si>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</si>
  <si>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</si>
  <si>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</si>
  <si>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</si>
  <si>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</si>
  <si>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</si>
  <si>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</si>
  <si>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</si>
  <si>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</si>
  <si>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</si>
  <si>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</si>
  <si>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</si>
  <si>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</si>
  <si>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</si>
  <si>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</si>
  <si>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</si>
  <si>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</si>
  <si>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</si>
  <si>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</si>
  <si>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</si>
  <si>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</si>
  <si>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</si>
  <si>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</si>
  <si>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</si>
  <si>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</si>
  <si>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</si>
  <si>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</si>
  <si>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</si>
  <si>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</si>
  <si>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</si>
  <si>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</si>
  <si>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</si>
  <si>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</si>
  <si>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</si>
  <si>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</si>
  <si>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</si>
  <si>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</si>
  <si>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</si>
  <si>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</si>
  <si>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</si>
  <si>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</si>
  <si>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</si>
  <si>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</si>
  <si>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</si>
  <si>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</si>
  <si>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</si>
  <si>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</si>
  <si>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</si>
  <si>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</si>
  <si>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</si>
  <si>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</si>
  <si>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</si>
  <si>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</si>
  <si>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</si>
  <si>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</si>
  <si>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</si>
  <si>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</si>
  <si>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</si>
  <si>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</si>
  <si>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</si>
  <si>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</si>
  <si>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</si>
  <si>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</si>
  <si>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</si>
  <si>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</si>
  <si>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</si>
  <si>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</si>
  <si>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</si>
  <si>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</si>
  <si>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</si>
  <si>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</si>
  <si>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</si>
  <si>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</si>
  <si>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</si>
  <si>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</si>
  <si>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</si>
  <si>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</si>
  <si>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</si>
  <si>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</si>
  <si>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</si>
  <si>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</si>
  <si>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</si>
  <si>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</si>
  <si>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</si>
  <si>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</si>
  <si>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</si>
  <si>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</si>
  <si>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</si>
  <si>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</si>
  <si>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</si>
  <si>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</si>
  <si>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</si>
  <si>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</si>
  <si>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</si>
  <si>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</si>
  <si>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</si>
  <si>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</si>
  <si>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</si>
  <si>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</si>
  <si>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</si>
  <si>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</si>
  <si>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</si>
  <si>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</si>
  <si>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</si>
  <si>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</si>
  <si>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</si>
  <si>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</si>
  <si>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</si>
  <si>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</si>
  <si>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</si>
  <si>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</si>
  <si>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</si>
  <si>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</si>
  <si>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</si>
  <si>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</si>
  <si>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</si>
  <si>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</si>
  <si>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</si>
  <si>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</si>
  <si>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</si>
  <si>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</si>
  <si>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</si>
  <si>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</si>
  <si>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</si>
  <si>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</si>
  <si>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</si>
  <si>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</si>
  <si>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</si>
  <si>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</si>
  <si>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</si>
  <si>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</si>
  <si>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</si>
  <si>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</si>
  <si>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</si>
  <si>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</si>
  <si>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</si>
  <si>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</si>
  <si>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</si>
  <si>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</si>
  <si>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</si>
  <si>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</si>
  <si>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</si>
  <si>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</si>
  <si>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</si>
  <si>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</si>
  <si>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</si>
  <si>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</si>
  <si>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</si>
  <si>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</si>
  <si>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</si>
  <si>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</si>
  <si>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</si>
  <si>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</si>
  <si>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</si>
  <si>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</si>
  <si>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</si>
  <si>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</si>
  <si>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</si>
  <si>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</si>
  <si>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</si>
  <si>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</si>
  <si>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</si>
  <si>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</si>
  <si>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</si>
  <si>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</si>
  <si>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</si>
  <si>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</si>
  <si>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</si>
  <si>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</si>
  <si>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</si>
  <si>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</si>
  <si>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</si>
  <si>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</si>
  <si>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</si>
  <si>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</si>
  <si>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</si>
  <si>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</si>
  <si>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</si>
  <si>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</si>
  <si>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</si>
  <si>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</si>
  <si>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</si>
  <si>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</si>
  <si>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</si>
  <si>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</si>
  <si>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</si>
  <si>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</si>
  <si>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</si>
  <si>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</si>
  <si>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</si>
  <si>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</si>
  <si>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</si>
  <si>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</si>
  <si>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</si>
  <si>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</si>
  <si>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</si>
  <si>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</si>
  <si>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</si>
  <si>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</si>
  <si>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</si>
  <si>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</si>
  <si>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</si>
  <si>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</si>
  <si>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</si>
  <si>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</si>
  <si>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</si>
  <si>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</si>
  <si>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</si>
  <si>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</si>
  <si>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</si>
  <si>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</si>
  <si>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</si>
  <si>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</si>
  <si>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</si>
  <si>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</si>
  <si>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</si>
  <si>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</si>
  <si>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</si>
  <si>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</si>
  <si>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</si>
  <si>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</si>
  <si>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</si>
  <si>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</si>
  <si>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</si>
  <si>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</si>
  <si>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</si>
  <si>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</si>
  <si>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</si>
  <si>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</si>
  <si>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</si>
  <si>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</si>
  <si>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</si>
  <si>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</si>
  <si>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</si>
  <si>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</si>
  <si>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</si>
  <si>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</si>
  <si>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</si>
  <si>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</si>
  <si>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</si>
  <si>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</si>
  <si>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</si>
  <si>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</si>
  <si>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</si>
  <si>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</si>
  <si>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</si>
  <si>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</si>
  <si>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</si>
  <si>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</si>
  <si>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</si>
  <si>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</si>
  <si>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</si>
  <si>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</si>
  <si>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</si>
  <si>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</si>
  <si>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</si>
  <si>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</si>
  <si>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</si>
  <si>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</si>
  <si>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</si>
  <si>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</si>
  <si>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</si>
  <si>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</si>
  <si>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</si>
  <si>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</si>
  <si>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</si>
  <si>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</si>
  <si>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</si>
  <si>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</si>
  <si>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</si>
  <si>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</si>
  <si>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</si>
  <si>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</si>
  <si>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</si>
  <si>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</si>
  <si>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</si>
  <si>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</si>
  <si>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</si>
  <si>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</si>
  <si>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</si>
  <si>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</si>
  <si>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</si>
  <si>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</si>
  <si>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</si>
  <si>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</si>
  <si>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</si>
  <si>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</si>
  <si>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</si>
  <si>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</si>
  <si>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</si>
  <si>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</si>
  <si>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</si>
  <si>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</si>
  <si>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</si>
  <si>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</si>
  <si>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</si>
  <si>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</si>
  <si>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</si>
  <si>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</si>
  <si>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</si>
  <si>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</si>
  <si>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</si>
  <si>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</si>
  <si>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</si>
  <si>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</si>
  <si>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</si>
  <si>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</si>
  <si>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</si>
  <si>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</si>
  <si>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</si>
  <si>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</si>
  <si>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</si>
  <si>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</si>
  <si>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</si>
  <si>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</si>
  <si>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</si>
  <si>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</si>
  <si>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</si>
  <si>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</si>
  <si>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</si>
  <si>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</si>
  <si>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</si>
  <si>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</si>
  <si>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</si>
  <si>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</si>
  <si>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</si>
  <si>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</si>
  <si>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</si>
  <si>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</si>
  <si>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</si>
  <si>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</si>
  <si>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</si>
  <si>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</si>
  <si>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</si>
  <si>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</si>
  <si>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</si>
  <si>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</si>
  <si>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</si>
  <si>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</si>
  <si>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</si>
  <si>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</si>
  <si>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</si>
  <si>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</si>
  <si>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</si>
  <si>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</si>
  <si>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</si>
  <si>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</si>
  <si>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</si>
  <si>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</si>
  <si>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</si>
  <si>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</si>
  <si>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</si>
  <si>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</si>
  <si>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</si>
  <si>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</si>
  <si>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</si>
  <si>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</si>
  <si>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</si>
  <si>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</si>
  <si>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</si>
  <si>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</si>
  <si>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</si>
  <si>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</si>
  <si>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</si>
  <si>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</si>
  <si>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</si>
  <si>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</si>
  <si>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</si>
  <si>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</si>
  <si>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</si>
  <si>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</si>
  <si>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</si>
  <si>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</si>
  <si>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</si>
  <si>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</si>
  <si>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</si>
  <si>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</si>
  <si>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</si>
  <si>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</si>
  <si>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</si>
  <si>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</si>
  <si>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</si>
  <si>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</si>
  <si>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</si>
  <si>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</si>
  <si>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</si>
  <si>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</si>
  <si>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</si>
  <si>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</si>
  <si>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</si>
  <si>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</si>
  <si>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</si>
  <si>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</si>
  <si>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</si>
  <si>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</si>
  <si>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</si>
  <si>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</si>
  <si>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</si>
  <si>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</si>
  <si>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</si>
  <si>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</si>
  <si>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</si>
  <si>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</si>
  <si>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</si>
  <si>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</si>
  <si>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</si>
  <si>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</si>
  <si>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</si>
  <si>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</si>
  <si>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</si>
  <si>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</si>
  <si>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</si>
  <si>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</si>
  <si>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</si>
  <si>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</si>
  <si>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</si>
  <si>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</si>
  <si>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</si>
  <si>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</si>
  <si>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</si>
  <si>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</si>
  <si>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</si>
  <si>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</si>
  <si>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</si>
  <si>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</si>
  <si>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</si>
  <si>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</si>
  <si>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</si>
  <si>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</si>
  <si>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</si>
  <si>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</si>
  <si>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</si>
  <si>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</si>
  <si>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</si>
  <si>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</si>
  <si>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</si>
  <si>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</si>
  <si>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</si>
  <si>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</si>
  <si>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</si>
  <si>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</si>
  <si>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</si>
  <si>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</si>
  <si>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</si>
  <si>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</si>
  <si>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</si>
  <si>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</si>
  <si>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</si>
  <si>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</si>
  <si>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</si>
  <si>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</si>
  <si>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</si>
  <si>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</si>
  <si>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</si>
  <si>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</si>
  <si>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</si>
  <si>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</si>
  <si>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</si>
  <si>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</si>
  <si>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</si>
  <si>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</si>
  <si>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</si>
  <si>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</si>
  <si>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</si>
  <si>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</si>
  <si>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</si>
  <si>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</si>
  <si>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</si>
  <si>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</si>
  <si>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</si>
  <si>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</si>
  <si>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</si>
  <si>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</si>
  <si>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</si>
  <si>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</si>
  <si>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</si>
  <si>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</si>
  <si>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</si>
  <si>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</si>
  <si>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</si>
  <si>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</si>
  <si>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</si>
  <si>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</si>
  <si>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</si>
  <si>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</si>
  <si>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</si>
  <si>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</si>
  <si>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</si>
  <si>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</si>
  <si>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</si>
  <si>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</si>
  <si>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</si>
  <si>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</si>
  <si>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</si>
  <si>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</si>
  <si>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</si>
  <si>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</si>
  <si>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</si>
  <si>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</si>
  <si>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</si>
  <si>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</si>
  <si>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</si>
  <si>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</si>
  <si>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</si>
  <si>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</si>
  <si>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</si>
  <si>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</si>
  <si>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</si>
  <si>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</si>
  <si>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</si>
  <si>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</si>
  <si>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</si>
  <si>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</si>
  <si>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</si>
  <si>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</si>
  <si>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</si>
  <si>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</si>
  <si>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</si>
  <si>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</si>
  <si>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</si>
  <si>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</si>
  <si>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</si>
  <si>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</si>
  <si>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</si>
  <si>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</si>
  <si>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</si>
  <si>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</si>
  <si>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</si>
  <si>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</si>
  <si>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</si>
  <si>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</si>
  <si>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</si>
  <si>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</si>
  <si>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</si>
  <si>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</si>
  <si>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</si>
  <si>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</si>
  <si>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</si>
  <si>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</si>
  <si>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</si>
  <si>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</si>
  <si>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</si>
  <si>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</si>
  <si>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</si>
  <si>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</si>
  <si>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</si>
  <si>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</si>
  <si>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</si>
  <si>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</si>
  <si>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</si>
  <si>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</si>
  <si>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</si>
  <si>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</si>
  <si>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</si>
  <si>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</si>
  <si>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</si>
  <si>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</si>
  <si>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</si>
  <si>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</si>
  <si>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</si>
  <si>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</si>
  <si>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</si>
  <si>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</si>
  <si>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</si>
  <si>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</si>
  <si>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</si>
  <si>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</si>
  <si>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</si>
  <si>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</si>
  <si>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</si>
  <si>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</si>
  <si>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</si>
  <si>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</si>
  <si>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</si>
  <si>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</si>
  <si>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</si>
  <si>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</si>
  <si>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</si>
  <si>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</si>
  <si>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</si>
  <si>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</si>
  <si>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</si>
  <si>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</si>
  <si>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</si>
  <si>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</si>
  <si>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</si>
  <si>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</si>
  <si>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</si>
  <si>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</si>
  <si>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</si>
  <si>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</si>
  <si>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</si>
  <si>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</si>
  <si>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</si>
  <si>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</si>
  <si>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</si>
  <si>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</si>
  <si>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</si>
  <si>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</si>
  <si>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</si>
  <si>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</si>
  <si>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</si>
  <si>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</si>
  <si>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</si>
  <si>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</si>
  <si>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</si>
  <si>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</si>
  <si>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</si>
  <si>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</si>
  <si>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</si>
  <si>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</si>
  <si>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</si>
  <si>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</si>
  <si>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</si>
  <si>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</si>
  <si>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</si>
  <si>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</si>
  <si>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</si>
  <si>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</si>
  <si>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</si>
  <si>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</si>
  <si>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</si>
  <si>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</si>
  <si>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</si>
  <si>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</si>
  <si>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</si>
  <si>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</si>
  <si>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</si>
  <si>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</si>
  <si>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</si>
  <si>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</si>
  <si>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</si>
  <si>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</si>
  <si>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</si>
  <si>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</si>
  <si>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</si>
  <si>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</si>
  <si>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</si>
  <si>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</si>
  <si>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</si>
  <si>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</si>
  <si>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</si>
  <si>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</si>
  <si>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</si>
  <si>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</si>
  <si>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</si>
  <si>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</si>
  <si>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</si>
  <si>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</si>
  <si>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</si>
  <si>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</si>
  <si>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</si>
  <si>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</si>
  <si>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</si>
  <si>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</si>
  <si>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</si>
  <si>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</si>
  <si>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</si>
  <si>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</si>
  <si>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</si>
  <si>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</si>
  <si>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</si>
  <si>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</si>
  <si>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</si>
  <si>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</si>
  <si>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</si>
  <si>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</si>
  <si>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</si>
  <si>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</si>
  <si>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</si>
  <si>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</si>
  <si>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</si>
  <si>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</si>
  <si>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</si>
  <si>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</si>
  <si>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</si>
  <si>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</si>
  <si>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</si>
  <si>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</si>
  <si>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</si>
  <si>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</si>
  <si>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</si>
  <si>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</si>
  <si>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</si>
  <si>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</si>
  <si>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</si>
  <si>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</si>
  <si>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</si>
  <si>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</si>
  <si>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</si>
  <si>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</si>
  <si>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</si>
  <si>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</si>
  <si>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</si>
  <si>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</si>
  <si>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</si>
  <si>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</si>
  <si>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</si>
  <si>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</si>
  <si>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</si>
  <si>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</si>
  <si>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</si>
  <si>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</si>
  <si>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</si>
  <si>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</si>
  <si>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</si>
  <si>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</si>
  <si>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</si>
  <si>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</si>
  <si>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</si>
  <si>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</si>
  <si>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</si>
  <si>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</si>
  <si>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</si>
  <si>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</si>
  <si>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</si>
  <si>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</si>
  <si>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</si>
  <si>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</si>
  <si>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</si>
  <si>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</si>
  <si>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</si>
  <si>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</si>
  <si>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</si>
  <si>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</si>
  <si>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</si>
  <si>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</si>
  <si>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</si>
  <si>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</si>
  <si>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</si>
  <si>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</si>
  <si>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</si>
  <si>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</si>
  <si>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</si>
  <si>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</si>
  <si>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</si>
  <si>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</si>
  <si>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</si>
  <si>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</si>
  <si>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</si>
  <si>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</si>
  <si>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</si>
  <si>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</si>
  <si>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</si>
  <si>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</si>
  <si>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</si>
  <si>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</si>
  <si>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</si>
  <si>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</si>
  <si>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</si>
  <si>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</si>
  <si>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</si>
  <si>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</si>
  <si>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</si>
  <si>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</si>
  <si>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</si>
  <si>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</si>
  <si>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</si>
  <si>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</si>
  <si>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</si>
  <si>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</si>
  <si>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</si>
  <si>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</si>
  <si>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</si>
  <si>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</si>
  <si>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</si>
  <si>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</si>
  <si>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</si>
  <si>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</si>
  <si>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</si>
  <si>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</si>
  <si>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</si>
  <si>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</si>
  <si>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</si>
  <si>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</si>
  <si>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</si>
  <si>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</si>
  <si>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</si>
  <si>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</si>
  <si>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</si>
  <si>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</si>
  <si>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</si>
  <si>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</si>
  <si>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</si>
  <si>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</si>
  <si>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</si>
  <si>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</si>
  <si>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</si>
  <si>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</si>
  <si>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</si>
  <si>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</si>
  <si>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</si>
  <si>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</si>
  <si>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</si>
  <si>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</si>
  <si>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</si>
  <si>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</si>
  <si>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</si>
  <si>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</si>
  <si>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</si>
  <si>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</si>
  <si>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</si>
  <si>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</si>
  <si>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</si>
  <si>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</si>
  <si>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</si>
  <si>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</si>
  <si>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</si>
  <si>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</si>
  <si>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</si>
  <si>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</si>
  <si>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</si>
  <si>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</si>
  <si>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</si>
  <si>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</si>
  <si>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</si>
  <si>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</si>
  <si>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</si>
  <si>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</si>
  <si>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</si>
  <si>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</si>
  <si>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</si>
  <si>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</si>
  <si>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</si>
  <si>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</si>
  <si>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</si>
  <si>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</si>
  <si>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</si>
  <si>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</si>
  <si>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</si>
  <si>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</si>
  <si>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</si>
  <si>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</si>
  <si>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</si>
  <si>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</si>
  <si>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</si>
  <si>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</si>
  <si>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</si>
  <si>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</si>
  <si>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</si>
  <si>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</si>
  <si>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</si>
  <si>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</si>
  <si>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</si>
  <si>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</si>
  <si>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</si>
  <si>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</si>
  <si>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</si>
  <si>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</si>
  <si>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</si>
  <si>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</si>
  <si>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</si>
  <si>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</si>
  <si>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</si>
  <si>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</si>
  <si>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</si>
  <si>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</si>
  <si>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</si>
  <si>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</si>
  <si>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</si>
  <si>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</si>
  <si>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</si>
  <si>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</si>
  <si>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</si>
  <si>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</si>
  <si>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</si>
  <si>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</si>
  <si>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</si>
  <si>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</si>
  <si>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</si>
  <si>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</si>
  <si>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</si>
  <si>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</si>
  <si>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</si>
  <si>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</si>
  <si>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</si>
  <si>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</si>
  <si>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</si>
  <si>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</si>
  <si>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</si>
  <si>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</si>
  <si>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</si>
  <si>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</si>
  <si>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</si>
  <si>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</si>
  <si>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</si>
  <si>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</si>
  <si>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</si>
  <si>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</si>
  <si>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</si>
  <si>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</si>
  <si>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</si>
  <si>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</si>
  <si>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</si>
  <si>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</si>
  <si>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</si>
  <si>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</si>
  <si>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</si>
  <si>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</si>
  <si>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</si>
  <si>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</si>
  <si>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</si>
  <si>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</si>
  <si>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</si>
  <si>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</si>
  <si>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</si>
  <si>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</si>
  <si>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</si>
  <si>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</si>
  <si>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</si>
  <si>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</si>
  <si>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</si>
  <si>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</si>
  <si>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</si>
  <si>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</si>
  <si>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</si>
  <si>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</si>
  <si>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</si>
  <si>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</si>
  <si>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</si>
  <si>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</si>
  <si>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</si>
  <si>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</si>
  <si>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</si>
  <si>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</si>
  <si>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</si>
  <si>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</si>
  <si>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</si>
  <si>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</si>
  <si>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</si>
  <si>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</si>
  <si>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</si>
  <si>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</si>
  <si>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</si>
  <si>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</si>
  <si>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</si>
  <si>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</si>
  <si>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</si>
  <si>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</si>
  <si>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</si>
  <si>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</si>
  <si>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</si>
  <si>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</si>
  <si>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</si>
  <si>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</si>
  <si>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</si>
  <si>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</si>
  <si>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</si>
  <si>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</si>
  <si>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</si>
  <si>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</si>
  <si>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</si>
  <si>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</si>
  <si>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</si>
  <si>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</si>
  <si>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</si>
  <si>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</si>
  <si>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</si>
  <si>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</si>
  <si>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</si>
  <si>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</si>
  <si>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</si>
  <si>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</si>
  <si>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</si>
  <si>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</si>
  <si>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</si>
  <si>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</si>
  <si>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</si>
  <si>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</si>
  <si>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</si>
  <si>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</si>
  <si>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</si>
  <si>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</si>
  <si>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</si>
  <si>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</si>
  <si>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</si>
  <si>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</si>
  <si>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</si>
  <si>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</si>
  <si>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</si>
  <si>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</si>
  <si>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</si>
  <si>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</si>
  <si>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</si>
  <si>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</si>
  <si>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</si>
  <si>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</si>
  <si>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</si>
  <si>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</si>
  <si>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</si>
  <si>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</si>
  <si>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</si>
  <si>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</si>
  <si>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</si>
  <si>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</si>
  <si>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</si>
  <si>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</si>
  <si>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</si>
  <si>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</si>
  <si>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</si>
  <si>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</si>
  <si>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</si>
  <si>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</si>
  <si>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</si>
  <si>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</si>
  <si>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</si>
  <si>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</si>
  <si>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</si>
  <si>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</si>
  <si>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</si>
  <si>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</si>
  <si>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</si>
  <si>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</si>
  <si>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</si>
  <si>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</si>
  <si>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</si>
  <si>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</si>
  <si>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</si>
  <si>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</si>
  <si>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</si>
  <si>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</si>
  <si>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</si>
  <si>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</si>
  <si>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</si>
  <si>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</si>
  <si>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</si>
  <si>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</si>
  <si>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</si>
  <si>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</si>
  <si>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</si>
  <si>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</si>
  <si>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</si>
  <si>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</si>
  <si>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</si>
  <si>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</si>
  <si>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</si>
  <si>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</si>
  <si>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</si>
  <si>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</si>
  <si>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</si>
  <si>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</si>
  <si>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</si>
  <si>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</si>
  <si>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</si>
  <si>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</si>
  <si>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</si>
  <si>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</si>
  <si>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</si>
  <si>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</si>
  <si>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</si>
  <si>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</si>
  <si>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</si>
  <si>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</si>
  <si>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</si>
  <si>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</si>
  <si>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</si>
  <si>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</si>
  <si>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</si>
  <si>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</si>
  <si>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</si>
  <si>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</si>
  <si>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</si>
  <si>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</si>
  <si>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</si>
  <si>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</si>
  <si>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</si>
  <si>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</si>
  <si>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</si>
  <si>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</si>
  <si>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</si>
  <si>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</si>
  <si>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</si>
  <si>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</si>
  <si>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</si>
  <si>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</si>
  <si>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</si>
  <si>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</si>
  <si>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</si>
  <si>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</si>
  <si>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</si>
  <si>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</si>
  <si>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</si>
  <si>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</si>
  <si>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</si>
  <si>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</si>
  <si>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</si>
  <si>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</si>
  <si>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</si>
  <si>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</si>
  <si>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</si>
  <si>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</si>
  <si>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</si>
  <si>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</si>
  <si>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</si>
  <si>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</si>
  <si>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</si>
  <si>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</si>
  <si>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</si>
  <si>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</si>
  <si>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</si>
  <si>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</si>
  <si>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</si>
  <si>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</si>
  <si>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</si>
  <si>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</si>
  <si>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</si>
  <si>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</si>
  <si>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</si>
  <si>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</si>
  <si>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</si>
  <si>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</si>
  <si>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</si>
  <si>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</si>
  <si>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</si>
  <si>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</si>
  <si>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</si>
  <si>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</si>
  <si>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</si>
  <si>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</si>
  <si>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</si>
  <si>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</si>
  <si>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</si>
  <si>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</si>
  <si>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</si>
  <si>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</si>
  <si>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</si>
  <si>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</si>
  <si>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</si>
  <si>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</si>
  <si>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</si>
  <si>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</si>
  <si>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</si>
  <si>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</si>
  <si>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</si>
  <si>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</si>
  <si>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</si>
  <si>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</si>
  <si>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</si>
  <si>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</si>
  <si>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</si>
  <si>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</si>
  <si>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</si>
  <si>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</si>
  <si>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</si>
  <si>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</si>
  <si>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</si>
  <si>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</si>
  <si>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</si>
  <si>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</si>
  <si>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</si>
  <si>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</si>
  <si>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</si>
  <si>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</si>
  <si>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</si>
  <si>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</si>
  <si>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</si>
  <si>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</si>
  <si>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</si>
  <si>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</si>
  <si>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</si>
  <si>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</si>
  <si>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</si>
  <si>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</si>
  <si>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</si>
  <si>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</si>
  <si>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</si>
  <si>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</si>
  <si>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</si>
  <si>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</si>
  <si>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</si>
  <si>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</si>
  <si>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</si>
  <si>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</si>
  <si>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</si>
  <si>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</si>
  <si>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</si>
  <si>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</si>
  <si>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</si>
  <si>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</si>
  <si>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</si>
  <si>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</si>
  <si>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</si>
  <si>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</si>
  <si>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</si>
  <si>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</si>
  <si>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</si>
  <si>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</si>
  <si>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</si>
  <si>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</si>
  <si>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</si>
  <si>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</si>
  <si>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</si>
  <si>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</si>
  <si>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</si>
  <si>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</si>
  <si>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</si>
  <si>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</si>
  <si>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</si>
  <si>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</si>
  <si>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</si>
  <si>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</si>
  <si>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</si>
  <si>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</si>
  <si>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</si>
  <si>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</si>
  <si>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</si>
  <si>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</si>
  <si>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</si>
  <si>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</si>
  <si>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</si>
  <si>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</si>
  <si>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</si>
  <si>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</si>
  <si>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</si>
  <si>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</si>
  <si>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</si>
  <si>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</si>
  <si>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</si>
  <si>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</si>
  <si>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</si>
  <si>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</si>
  <si>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</si>
  <si>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</si>
  <si>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</si>
  <si>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</si>
  <si>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</si>
  <si>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</si>
  <si>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</si>
  <si>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</si>
  <si>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</si>
  <si>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</si>
  <si>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</si>
  <si>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</si>
  <si>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</si>
  <si>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</si>
  <si>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</si>
  <si>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</si>
  <si>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</si>
  <si>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</si>
  <si>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</si>
  <si>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</si>
  <si>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</si>
  <si>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</si>
  <si>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</si>
  <si>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</si>
  <si>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</si>
  <si>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</si>
  <si>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</si>
  <si>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</si>
  <si>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</si>
  <si>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</si>
  <si>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</si>
  <si>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</si>
  <si>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</si>
  <si>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</si>
  <si>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</si>
  <si>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</si>
  <si>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</si>
  <si>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</si>
  <si>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</si>
  <si>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</si>
  <si>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</si>
  <si>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</si>
  <si>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</si>
  <si>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</si>
  <si>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</si>
  <si>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</si>
  <si>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</si>
  <si>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</si>
  <si>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</si>
  <si>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</si>
  <si>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</si>
  <si>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</si>
  <si>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</si>
  <si>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</si>
  <si>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</si>
  <si>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</si>
  <si>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</si>
  <si>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</si>
  <si>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</si>
  <si>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</si>
  <si>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</si>
  <si>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</si>
  <si>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</si>
  <si>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</si>
  <si>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</si>
  <si>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</si>
  <si>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</si>
  <si>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</si>
  <si>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</si>
  <si>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</si>
  <si>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</si>
  <si>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</si>
  <si>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</si>
  <si>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</si>
  <si>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</si>
  <si>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</si>
  <si>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</si>
  <si>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</si>
  <si>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</si>
  <si>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</si>
  <si>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</si>
  <si>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</si>
  <si>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</si>
  <si>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</si>
  <si>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</si>
  <si>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</si>
  <si>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</si>
  <si>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</si>
  <si>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</si>
  <si>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</si>
  <si>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</si>
  <si>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</si>
  <si>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</si>
  <si>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</si>
  <si>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</si>
  <si>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</si>
  <si>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</si>
  <si>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</si>
  <si>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</si>
  <si>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</si>
  <si>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</si>
  <si>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</si>
  <si>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</si>
  <si>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</si>
  <si>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</si>
  <si>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</si>
  <si>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</si>
  <si>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</si>
  <si>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</si>
  <si>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</si>
  <si>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</si>
  <si>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</si>
  <si>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</si>
  <si>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</si>
  <si>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</si>
  <si>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</si>
  <si>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</si>
  <si>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</si>
  <si>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</si>
  <si>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</si>
  <si>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</si>
  <si>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</si>
  <si>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</si>
  <si>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</si>
  <si>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</si>
  <si>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</si>
  <si>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</si>
  <si>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</si>
  <si>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</si>
  <si>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</si>
  <si>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</si>
  <si>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</si>
  <si>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</si>
  <si>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</si>
  <si>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</si>
  <si>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</si>
  <si>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</si>
  <si>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</si>
  <si>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</si>
  <si>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</si>
  <si>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</si>
  <si>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</si>
  <si>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</si>
  <si>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</si>
  <si>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</si>
  <si>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</si>
  <si>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</si>
  <si>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</si>
  <si>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</si>
  <si>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</si>
  <si>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</si>
  <si>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</si>
  <si>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</si>
  <si>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</si>
  <si>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</si>
  <si>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</si>
  <si>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</si>
  <si>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</si>
  <si>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</si>
  <si>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</si>
  <si>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</si>
  <si>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</si>
  <si>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</si>
  <si>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</si>
  <si>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</si>
  <si>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</si>
  <si>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</si>
  <si>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</si>
  <si>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</si>
  <si>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</si>
  <si>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</si>
  <si>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</si>
  <si>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</si>
  <si>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</si>
  <si>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</si>
  <si>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</si>
  <si>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</si>
  <si>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</si>
  <si>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</si>
  <si>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</si>
  <si>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</si>
  <si>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</si>
  <si>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</si>
  <si>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</si>
  <si>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</si>
  <si>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</si>
  <si>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</si>
  <si>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</si>
  <si>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</si>
  <si>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</si>
  <si>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</si>
  <si>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</si>
  <si>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</si>
  <si>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</si>
  <si>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</si>
  <si>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</si>
  <si>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</si>
  <si>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</si>
  <si>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</si>
  <si>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</si>
  <si>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</si>
  <si>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</si>
  <si>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</si>
  <si>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</si>
  <si>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</si>
  <si>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</si>
  <si>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</si>
  <si>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</si>
  <si>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</si>
  <si>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</si>
  <si>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</si>
  <si>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</si>
  <si>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</si>
  <si>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</si>
  <si>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</si>
  <si>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</si>
  <si>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</si>
  <si>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</si>
  <si>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</si>
  <si>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</si>
  <si>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</si>
  <si>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</si>
  <si>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</si>
  <si>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</si>
  <si>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</si>
  <si>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</si>
  <si>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</si>
  <si>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</si>
  <si>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</si>
  <si>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</si>
  <si>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</si>
  <si>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</si>
  <si>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</si>
  <si>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</si>
  <si>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</si>
  <si>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</si>
  <si>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</si>
  <si>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</si>
  <si>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</si>
  <si>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</si>
  <si>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</si>
  <si>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</si>
  <si>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</si>
  <si>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</si>
  <si>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</si>
  <si>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</si>
  <si>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</si>
  <si>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</si>
  <si>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</si>
  <si>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</si>
  <si>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</si>
  <si>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</si>
  <si>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</si>
  <si>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</si>
  <si>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</si>
  <si>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</si>
  <si>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</si>
  <si>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</si>
  <si>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</si>
  <si>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</si>
  <si>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</si>
  <si>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</si>
  <si>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</si>
  <si>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</si>
  <si>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</si>
  <si>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</si>
  <si>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</si>
  <si>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</si>
  <si>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</si>
  <si>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</si>
  <si>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</si>
  <si>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</si>
  <si>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</si>
  <si>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</si>
  <si>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</si>
  <si>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</si>
  <si>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</si>
  <si>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</si>
  <si>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</si>
  <si>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</si>
  <si>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</si>
  <si>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</si>
  <si>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</si>
  <si>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</si>
  <si>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</si>
  <si>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</si>
  <si>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</si>
  <si>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</si>
  <si>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</si>
  <si>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</si>
  <si>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</si>
  <si>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</si>
  <si>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</si>
  <si>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</si>
  <si>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</si>
  <si>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</si>
  <si>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</si>
  <si>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</si>
  <si>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</si>
  <si>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</si>
  <si>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</si>
  <si>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</si>
  <si>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</si>
  <si>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</si>
  <si>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</si>
  <si>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</si>
  <si>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</si>
  <si>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</si>
  <si>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</si>
  <si>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</si>
  <si>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</si>
  <si>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</si>
  <si>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</si>
  <si>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</si>
  <si>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</si>
  <si>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</si>
  <si>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</si>
  <si>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</si>
  <si>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</si>
  <si>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</si>
  <si>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</si>
  <si>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</si>
  <si>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</si>
  <si>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</si>
  <si>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</si>
  <si>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</si>
  <si>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</si>
  <si>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</si>
  <si>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</si>
  <si>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</si>
  <si>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</si>
  <si>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</si>
  <si>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</si>
  <si>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</si>
  <si>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</si>
  <si>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</si>
  <si>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</si>
  <si>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</si>
  <si>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</si>
  <si>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</si>
  <si>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</si>
  <si>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</si>
  <si>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</si>
  <si>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</si>
  <si>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</si>
  <si>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</si>
  <si>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</si>
  <si>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</si>
  <si>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</si>
  <si>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</si>
  <si>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</si>
  <si>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</si>
  <si>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</si>
  <si>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</si>
  <si>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</si>
  <si>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</si>
  <si>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</si>
  <si>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</si>
  <si>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</si>
  <si>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</si>
  <si>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</si>
  <si>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</si>
  <si>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</si>
  <si>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</si>
  <si>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</si>
  <si>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</si>
  <si>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</si>
  <si>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</si>
  <si>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</si>
  <si>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</si>
  <si>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</si>
  <si>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</si>
  <si>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</si>
  <si>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</si>
  <si>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</si>
  <si>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</si>
  <si>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</si>
  <si>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</si>
  <si>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</si>
  <si>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</si>
  <si>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</si>
  <si>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</si>
  <si>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</si>
  <si>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</si>
  <si>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</si>
  <si>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</si>
  <si>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</si>
  <si>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</si>
  <si>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</si>
  <si>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</si>
  <si>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</si>
  <si>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</si>
  <si>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</si>
  <si>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</si>
  <si>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</si>
  <si>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</si>
  <si>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</si>
  <si>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</si>
  <si>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</si>
  <si>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</si>
  <si>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</si>
  <si>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</si>
  <si>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</si>
  <si>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</si>
  <si>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</si>
  <si>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</si>
  <si>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</si>
  <si>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</si>
  <si>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</si>
  <si>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</si>
  <si>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</si>
  <si>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</si>
  <si>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</si>
  <si>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</si>
  <si>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</si>
  <si>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</si>
  <si>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</si>
  <si>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</si>
  <si>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</si>
  <si>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</si>
  <si>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</si>
  <si>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</si>
  <si>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</si>
  <si>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</si>
  <si>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</si>
  <si>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</si>
  <si>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</si>
  <si>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</si>
  <si>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</si>
  <si>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</si>
  <si>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</si>
  <si>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</si>
  <si>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</si>
  <si>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</si>
  <si>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</si>
  <si>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</si>
  <si>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</si>
  <si>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</si>
  <si>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</si>
  <si>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</si>
  <si>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</si>
  <si>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</si>
  <si>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</si>
  <si>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</si>
  <si>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</si>
  <si>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</si>
  <si>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</si>
  <si>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</si>
  <si>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</si>
  <si>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</si>
  <si>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</si>
  <si>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</si>
  <si>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</si>
  <si>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</si>
  <si>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</si>
  <si>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</si>
  <si>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</si>
  <si>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</si>
  <si>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</si>
  <si>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</si>
  <si>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</si>
  <si>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</si>
  <si>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</si>
  <si>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</si>
  <si>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</si>
  <si>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</si>
  <si>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</si>
  <si>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</si>
  <si>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</si>
  <si>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</si>
  <si>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</si>
  <si>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</si>
  <si>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</si>
  <si>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</si>
  <si>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</si>
  <si>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</si>
  <si>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</si>
  <si>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</si>
  <si>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</si>
  <si>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</si>
  <si>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</si>
  <si>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</si>
  <si>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</si>
  <si>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</si>
  <si>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</si>
  <si>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</si>
  <si>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</si>
  <si>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</si>
  <si>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</si>
  <si>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</si>
  <si>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</si>
  <si>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</si>
  <si>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</si>
  <si>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</si>
  <si>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</si>
  <si>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</si>
  <si>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</si>
  <si>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</si>
  <si>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</si>
  <si>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</si>
  <si>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</si>
  <si>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</si>
  <si>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</si>
  <si>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</si>
  <si>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</si>
  <si>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</si>
  <si>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</si>
  <si>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</si>
  <si>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</si>
  <si>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</si>
  <si>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</si>
  <si>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</si>
  <si>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</si>
  <si>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</si>
  <si>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</si>
  <si>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</si>
  <si>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</si>
  <si>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</si>
  <si>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</si>
  <si>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</si>
  <si>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</si>
  <si>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</si>
  <si>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</si>
  <si>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</si>
  <si>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</si>
  <si>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</si>
  <si>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</si>
  <si>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</si>
  <si>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</si>
  <si>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</si>
  <si>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</si>
  <si>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</si>
  <si>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</si>
  <si>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</si>
  <si>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</si>
  <si>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</si>
  <si>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</si>
  <si>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</si>
  <si>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</si>
  <si>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</si>
  <si>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</si>
  <si>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</si>
  <si>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</si>
  <si>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</si>
  <si>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</si>
  <si>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</si>
  <si>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</si>
  <si>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</si>
  <si>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</si>
  <si>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</si>
  <si>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</si>
  <si>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</si>
  <si>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</si>
  <si>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</si>
  <si>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</si>
  <si>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</si>
  <si>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</si>
  <si>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</si>
  <si>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</si>
  <si>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</si>
  <si>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</si>
  <si>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</si>
  <si>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</si>
  <si>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</si>
  <si>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</si>
  <si>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</si>
  <si>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</si>
  <si>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</si>
  <si>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</si>
  <si>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</si>
  <si>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</si>
  <si>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</si>
  <si>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</si>
  <si>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</si>
  <si>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</si>
  <si>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</si>
  <si>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</si>
  <si>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</si>
  <si>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</si>
  <si>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</si>
  <si>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</si>
  <si>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</si>
  <si>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</si>
  <si>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</si>
  <si>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</si>
  <si>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</si>
  <si>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</si>
  <si>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</si>
  <si>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</si>
  <si>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</si>
  <si>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</si>
  <si>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</si>
  <si>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</si>
  <si>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</si>
  <si>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</si>
  <si>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</si>
  <si>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</si>
  <si>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</si>
  <si>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</si>
  <si>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</si>
  <si>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</si>
  <si>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</si>
  <si>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</si>
  <si>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</si>
  <si>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</si>
  <si>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</si>
  <si>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</si>
  <si>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</si>
  <si>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</si>
  <si>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</si>
  <si>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</si>
  <si>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</si>
  <si>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</si>
  <si>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</si>
  <si>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</si>
  <si>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</si>
  <si>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</si>
  <si>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</si>
  <si>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</si>
  <si>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</si>
  <si>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</si>
  <si>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</si>
  <si>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</si>
  <si>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</si>
  <si>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</si>
  <si>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</si>
  <si>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</si>
  <si>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</si>
  <si>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</si>
  <si>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</si>
  <si>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</si>
  <si>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</si>
  <si>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</si>
  <si>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</si>
  <si>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</si>
  <si>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</si>
  <si>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</si>
  <si>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</si>
  <si>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</si>
  <si>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</si>
  <si>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</si>
  <si>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</si>
  <si>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</si>
  <si>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</si>
  <si>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</si>
  <si>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</si>
  <si>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</si>
  <si>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</si>
  <si>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</si>
  <si>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</si>
  <si>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</si>
  <si>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</si>
  <si>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</si>
  <si>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</si>
  <si>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</si>
  <si>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</si>
  <si>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</si>
  <si>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</si>
  <si>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</si>
  <si>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</si>
  <si>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</si>
  <si>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</si>
  <si>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</si>
  <si>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</si>
  <si>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</si>
  <si>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</si>
  <si>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</si>
  <si>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</si>
  <si>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</si>
  <si>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</si>
  <si>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</si>
  <si>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</si>
  <si>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</si>
  <si>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</si>
  <si>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</si>
  <si>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</si>
  <si>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</si>
  <si>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</si>
  <si>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</si>
  <si>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</si>
  <si>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</si>
  <si>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</si>
  <si>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</si>
  <si>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</si>
  <si>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</si>
  <si>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</si>
  <si>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</si>
  <si>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</si>
  <si>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</si>
  <si>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</si>
  <si>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</si>
  <si>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</si>
  <si>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</si>
  <si>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</si>
  <si>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</si>
  <si>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</si>
  <si>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</si>
  <si>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</si>
  <si>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</si>
  <si>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</si>
  <si>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</si>
  <si>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</si>
  <si>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</si>
  <si>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</si>
  <si>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</si>
  <si>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</si>
  <si>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</si>
  <si>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</si>
  <si>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</si>
  <si>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</si>
  <si>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</si>
  <si>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</si>
  <si>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</si>
  <si>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</si>
  <si>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</si>
  <si>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</si>
  <si>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</si>
  <si>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</si>
  <si>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</si>
  <si>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</si>
  <si>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</si>
  <si>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</si>
  <si>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</si>
  <si>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</si>
  <si>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</si>
  <si>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</si>
  <si>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</si>
  <si>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</si>
  <si>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</si>
  <si>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</si>
  <si>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</si>
  <si>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</si>
  <si>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</si>
  <si>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</si>
  <si>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</si>
  <si>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</si>
  <si>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</si>
  <si>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</si>
  <si>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</si>
  <si>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</si>
  <si>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</si>
  <si>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</si>
  <si>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</si>
  <si>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</si>
  <si>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</si>
  <si>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</si>
  <si>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</si>
  <si>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</si>
  <si>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</si>
  <si>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</si>
  <si>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</si>
  <si>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</si>
  <si>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</si>
  <si>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</si>
  <si>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</si>
  <si>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</si>
  <si>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</si>
  <si>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</si>
  <si>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</si>
  <si>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</si>
  <si>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</si>
  <si>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</si>
  <si>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</si>
  <si>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</si>
  <si>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</si>
  <si>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</si>
  <si>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</si>
  <si>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</si>
  <si>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</si>
  <si>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</si>
  <si>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</si>
  <si>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</si>
  <si>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</si>
  <si>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</si>
  <si>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</si>
  <si>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</si>
  <si>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</si>
  <si>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</si>
  <si>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</si>
  <si>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</si>
  <si>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</si>
  <si>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</si>
  <si>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</si>
  <si>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</si>
  <si>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</si>
  <si>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</si>
  <si>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</si>
  <si>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</si>
  <si>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</si>
  <si>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</si>
  <si>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</si>
  <si>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</si>
  <si>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</si>
  <si>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</si>
  <si>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</si>
  <si>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</si>
  <si>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</si>
  <si>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</si>
  <si>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</si>
  <si>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</si>
  <si>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</si>
  <si>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</si>
  <si>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</si>
  <si>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</si>
  <si>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</si>
  <si>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</si>
  <si>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</si>
  <si>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</si>
  <si>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</si>
  <si>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</si>
  <si>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</si>
  <si>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</si>
  <si>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</si>
  <si>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</si>
  <si>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</si>
  <si>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</si>
  <si>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</si>
  <si>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</si>
  <si>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</si>
  <si>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</si>
  <si>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</si>
  <si>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</si>
  <si>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</si>
  <si>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</si>
  <si>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</si>
  <si>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</si>
  <si>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</si>
  <si>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</si>
  <si>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</si>
  <si>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</si>
  <si>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</si>
  <si>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</si>
  <si>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</si>
  <si>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</si>
  <si>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</si>
  <si>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</si>
  <si>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</si>
  <si>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</si>
  <si>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</si>
  <si>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</si>
  <si>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</si>
  <si>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</si>
  <si>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</si>
  <si>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</si>
  <si>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</si>
  <si>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</si>
  <si>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</si>
  <si>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</si>
  <si>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</si>
  <si>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</si>
  <si>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</si>
  <si>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</si>
  <si>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</si>
  <si>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</si>
  <si>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</si>
  <si>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</si>
  <si>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</si>
  <si>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</si>
  <si>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</si>
  <si>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</si>
  <si>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</si>
  <si>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</si>
  <si>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</si>
  <si>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</si>
  <si>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</si>
  <si>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</si>
  <si>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</si>
  <si>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</si>
  <si>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</si>
  <si>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</si>
  <si>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</si>
  <si>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</si>
  <si>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</si>
  <si>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</si>
  <si>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</si>
  <si>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</si>
  <si>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</si>
  <si>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</si>
  <si>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</si>
  <si>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</si>
  <si>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</si>
  <si>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</si>
  <si>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</si>
  <si>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</si>
  <si>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</si>
  <si>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</si>
  <si>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</si>
  <si>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</si>
  <si>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</si>
  <si>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</si>
  <si>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</si>
  <si>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</si>
  <si>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</si>
  <si>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</si>
  <si>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</si>
  <si>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</si>
  <si>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</si>
  <si>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</si>
  <si>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</si>
  <si>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</si>
  <si>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</si>
  <si>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</si>
  <si>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</si>
  <si>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</si>
  <si>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</si>
  <si>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</si>
  <si>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</si>
  <si>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</si>
  <si>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</si>
  <si>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</si>
  <si>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</si>
  <si>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</si>
  <si>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</si>
  <si>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</si>
  <si>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</si>
  <si>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</si>
  <si>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</si>
  <si>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</si>
  <si>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</si>
  <si>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</si>
  <si>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</si>
  <si>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</si>
  <si>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</si>
  <si>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</si>
  <si>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</si>
  <si>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</si>
  <si>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</si>
  <si>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</si>
  <si>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</si>
  <si>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</si>
  <si>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</si>
  <si>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</si>
  <si>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</si>
  <si>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</si>
  <si>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</si>
  <si>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</si>
  <si>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</si>
  <si>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</si>
  <si>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</si>
  <si>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</si>
  <si>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</si>
  <si>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</si>
  <si>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</si>
  <si>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</si>
  <si>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</si>
  <si>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</si>
  <si>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</si>
  <si>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</si>
  <si>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</si>
  <si>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</si>
  <si>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</si>
  <si>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</si>
  <si>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</si>
  <si>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</si>
  <si>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</si>
  <si>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</si>
  <si>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</si>
  <si>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</si>
  <si>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</si>
  <si>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</si>
  <si>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</si>
  <si>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</si>
  <si>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</si>
  <si>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</si>
  <si>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</si>
  <si>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</si>
  <si>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</si>
  <si>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</si>
  <si>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</si>
  <si>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</si>
  <si>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</si>
  <si>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</si>
  <si>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</si>
  <si>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</si>
  <si>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</si>
  <si>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</si>
  <si>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</si>
  <si>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</si>
  <si>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</si>
  <si>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</si>
  <si>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</si>
  <si>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</si>
  <si>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</si>
  <si>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</si>
  <si>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</si>
  <si>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</si>
  <si>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</si>
  <si>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</si>
  <si>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</si>
  <si>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</si>
  <si>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</si>
  <si>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</si>
  <si>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</si>
  <si>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</si>
  <si>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</si>
  <si>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</si>
  <si>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</si>
  <si>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</si>
  <si>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</si>
  <si>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</si>
  <si>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</si>
  <si>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</si>
  <si>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</si>
  <si>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</si>
  <si>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</si>
  <si>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</si>
  <si>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</si>
  <si>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</si>
  <si>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</si>
  <si>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</si>
  <si>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</si>
  <si>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</si>
  <si>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</si>
  <si>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</si>
  <si>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</si>
  <si>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</si>
  <si>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</si>
  <si>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</si>
  <si>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</si>
  <si>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</si>
  <si>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</si>
  <si>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</si>
  <si>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</si>
  <si>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</si>
  <si>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</si>
  <si>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</si>
  <si>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</si>
  <si>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</si>
  <si>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</si>
  <si>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</si>
  <si>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</si>
  <si>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</si>
  <si>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</si>
  <si>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</si>
  <si>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</si>
  <si>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</si>
  <si>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</si>
  <si>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</si>
  <si>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</si>
  <si>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</si>
  <si>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</si>
  <si>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</si>
  <si>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</si>
  <si>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</si>
  <si>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</si>
  <si>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</si>
  <si>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</si>
  <si>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</si>
  <si>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</si>
  <si>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</si>
  <si>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</si>
  <si>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</si>
  <si>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</si>
  <si>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</si>
  <si>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</si>
  <si>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</si>
  <si>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</si>
  <si>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</si>
  <si>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</si>
  <si>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</si>
  <si>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</si>
  <si>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</si>
  <si>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</si>
  <si>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</si>
  <si>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</si>
  <si>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</si>
  <si>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</si>
  <si>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</si>
  <si>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</si>
  <si>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</si>
  <si>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</si>
  <si>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</si>
  <si>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</si>
  <si>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</si>
  <si>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</si>
  <si>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</si>
  <si>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</si>
  <si>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</si>
  <si>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</si>
  <si>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</si>
  <si>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</si>
  <si>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</si>
  <si>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</si>
  <si>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</si>
  <si>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</si>
  <si>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</si>
  <si>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</si>
  <si>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</si>
  <si>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</si>
  <si>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</si>
  <si>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</si>
  <si>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</si>
  <si>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</si>
  <si>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</si>
  <si>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</si>
  <si>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</si>
  <si>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</si>
  <si>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</si>
  <si>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</si>
  <si>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</si>
  <si>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</si>
  <si>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</si>
  <si>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</si>
  <si>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</si>
  <si>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</si>
  <si>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</si>
  <si>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</si>
  <si>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</si>
  <si>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</si>
  <si>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</si>
  <si>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</si>
  <si>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</si>
  <si>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</si>
  <si>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</si>
  <si>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</si>
  <si>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</si>
  <si>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</si>
  <si>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</si>
  <si>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</si>
  <si>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</si>
  <si>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</si>
  <si>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</si>
  <si>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</si>
  <si>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</si>
  <si>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</si>
  <si>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</si>
  <si>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</si>
  <si>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</si>
  <si>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</si>
  <si>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</si>
  <si>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</si>
  <si>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</si>
  <si>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</si>
  <si>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</si>
  <si>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</si>
  <si>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</si>
  <si>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</si>
  <si>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</si>
  <si>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</si>
  <si>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</si>
  <si>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</si>
  <si>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</si>
  <si>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</si>
  <si>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</si>
  <si>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</si>
  <si>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</si>
  <si>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</si>
  <si>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</si>
  <si>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</si>
  <si>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</si>
  <si>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</si>
  <si>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</si>
  <si>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</si>
  <si>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</si>
  <si>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</si>
  <si>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</si>
  <si>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</si>
  <si>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</si>
  <si>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</si>
  <si>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</si>
  <si>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</si>
  <si>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</si>
  <si>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</si>
  <si>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</si>
  <si>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</si>
  <si>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</si>
  <si>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</si>
  <si>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</si>
  <si>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</si>
  <si>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</si>
  <si>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</si>
  <si>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</si>
  <si>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</si>
  <si>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</si>
  <si>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</si>
  <si>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</si>
  <si>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</si>
  <si>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</si>
  <si>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</si>
  <si>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</si>
  <si>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</si>
  <si>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</si>
  <si>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</si>
  <si>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</si>
  <si>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</si>
  <si>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</si>
  <si>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</si>
  <si>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</si>
  <si>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</si>
  <si>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</si>
  <si>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</si>
  <si>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</si>
  <si>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</si>
  <si>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</si>
  <si>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</si>
  <si>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</si>
  <si>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</si>
  <si>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</si>
  <si>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</si>
  <si>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</si>
  <si>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</si>
  <si>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</si>
  <si>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</si>
  <si>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</si>
  <si>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</si>
  <si>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</si>
  <si>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</si>
  <si>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</si>
  <si>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</si>
  <si>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</si>
  <si>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</si>
  <si>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</si>
  <si>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</si>
  <si>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</si>
  <si>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</si>
  <si>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</si>
  <si>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</si>
  <si>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</si>
  <si>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</si>
  <si>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</si>
  <si>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</si>
  <si>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</si>
  <si>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</si>
  <si>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</si>
  <si>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</si>
  <si>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</si>
  <si>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</si>
  <si>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</si>
  <si>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</si>
  <si>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</si>
  <si>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</si>
  <si>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</si>
  <si>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</si>
  <si>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</si>
  <si>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</si>
  <si>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</si>
  <si>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</si>
  <si>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</si>
  <si>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</si>
  <si>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</si>
  <si>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</si>
  <si>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</si>
  <si>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</si>
  <si>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</si>
  <si>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</si>
  <si>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</si>
  <si>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</si>
  <si>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</si>
  <si>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</si>
  <si>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</si>
  <si>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</si>
  <si>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</si>
  <si>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</si>
  <si>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</si>
  <si>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</si>
  <si>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</si>
  <si>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</si>
  <si>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</si>
  <si>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</si>
  <si>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</si>
  <si>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</si>
  <si>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</si>
  <si>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</si>
  <si>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</si>
  <si>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</si>
  <si>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</si>
  <si>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</si>
  <si>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</si>
  <si>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</si>
  <si>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</si>
  <si>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</si>
  <si>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</si>
  <si>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</si>
  <si>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</si>
  <si>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</si>
  <si>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</si>
  <si>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</si>
  <si>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</si>
  <si>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</si>
  <si>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</si>
  <si>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</si>
  <si>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</si>
  <si>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</si>
  <si>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</si>
  <si>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</si>
  <si>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</si>
  <si>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</si>
  <si>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</si>
  <si>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</si>
  <si>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</si>
  <si>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</si>
  <si>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</si>
  <si>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</si>
  <si>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</si>
  <si>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</si>
  <si>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</si>
  <si>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</si>
  <si>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</si>
  <si>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</si>
  <si>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</si>
  <si>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</si>
  <si>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</si>
  <si>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</si>
  <si>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</si>
  <si>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</si>
  <si>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</si>
  <si>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</si>
  <si>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</si>
  <si>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</si>
  <si>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</si>
  <si>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</si>
  <si>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</si>
  <si>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</si>
  <si>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</si>
  <si>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</si>
  <si>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</si>
  <si>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</si>
  <si>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</si>
  <si>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</si>
  <si>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</si>
  <si>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</si>
  <si>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</si>
  <si>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</si>
  <si>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</si>
  <si>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</si>
  <si>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</si>
  <si>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</si>
  <si>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</si>
  <si>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</si>
  <si>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</si>
  <si>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</si>
  <si>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</si>
  <si>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</si>
  <si>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</si>
  <si>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</si>
  <si>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</si>
  <si>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</si>
  <si>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</si>
  <si>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</si>
  <si>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</si>
  <si>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</si>
  <si>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</si>
  <si>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</si>
  <si>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</si>
  <si>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</si>
  <si>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</si>
  <si>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</si>
  <si>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</si>
  <si>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</si>
  <si>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</si>
  <si>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</si>
  <si>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</si>
  <si>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</si>
  <si>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</si>
  <si>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</si>
  <si>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</si>
  <si>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</si>
  <si>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</si>
  <si>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</si>
  <si>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</si>
  <si>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</si>
  <si>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</si>
  <si>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</si>
  <si>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</si>
  <si>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</si>
  <si>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</si>
  <si>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</si>
  <si>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</si>
  <si>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</si>
  <si>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</si>
  <si>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</si>
  <si>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</si>
  <si>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</si>
  <si>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</si>
  <si>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</si>
  <si>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</si>
  <si>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</si>
  <si>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</si>
  <si>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</si>
  <si>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</si>
  <si>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</si>
  <si>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</si>
  <si>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</si>
  <si>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</si>
  <si>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</si>
  <si>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</si>
  <si>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</si>
  <si>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</si>
  <si>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</si>
  <si>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</si>
  <si>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</si>
  <si>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</si>
  <si>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</si>
  <si>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</si>
  <si>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</si>
  <si>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</si>
  <si>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</si>
  <si>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</si>
  <si>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</si>
  <si>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</si>
  <si>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</si>
  <si>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</si>
  <si>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</si>
  <si>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</si>
  <si>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</si>
  <si>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</si>
  <si>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</si>
  <si>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</si>
  <si>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</si>
  <si>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</si>
  <si>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</si>
  <si>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</si>
  <si>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</si>
  <si>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</si>
  <si>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</si>
  <si>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</si>
  <si>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</si>
  <si>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</si>
  <si>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</si>
  <si>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</si>
  <si>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</si>
  <si>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</si>
  <si>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</si>
  <si>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</si>
  <si>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</si>
  <si>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</si>
  <si>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</si>
  <si>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</si>
  <si>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</si>
  <si>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</si>
  <si>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</si>
  <si>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</si>
  <si>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</si>
  <si>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</si>
  <si>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</si>
  <si>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</si>
  <si>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</si>
  <si>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</si>
  <si>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</si>
  <si>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</si>
  <si>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</si>
  <si>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</si>
  <si>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</si>
  <si>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</si>
  <si>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</si>
  <si>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</si>
  <si>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</si>
  <si>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</si>
  <si>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</si>
  <si>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</si>
  <si>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</si>
  <si>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</si>
  <si>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</si>
  <si>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</si>
  <si>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</si>
  <si>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</si>
  <si>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</si>
  <si>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</si>
  <si>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</si>
  <si>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</si>
  <si>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</si>
  <si>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</si>
  <si>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</si>
  <si>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</si>
  <si>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</si>
  <si>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</si>
  <si>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</si>
  <si>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</si>
  <si>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</si>
  <si>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</si>
  <si>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</si>
  <si>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</si>
  <si>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</si>
  <si>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</si>
  <si>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</si>
  <si>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</si>
  <si>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</si>
  <si>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</si>
  <si>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</si>
  <si>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</si>
  <si>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</si>
  <si>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</si>
  <si>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</si>
  <si>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</si>
  <si>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</si>
  <si>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</si>
  <si>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</si>
  <si>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</si>
  <si>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</si>
  <si>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</si>
  <si>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</si>
  <si>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</si>
  <si>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</si>
  <si>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</si>
  <si>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</si>
  <si>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</si>
  <si>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</si>
  <si>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</si>
  <si>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</si>
  <si>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</si>
  <si>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</si>
  <si>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</si>
  <si>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</si>
  <si>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</si>
  <si>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</si>
  <si>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</si>
  <si>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</si>
  <si>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</si>
  <si>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</si>
  <si>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</si>
  <si>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</si>
  <si>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</si>
  <si>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</si>
  <si>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</si>
  <si>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</si>
  <si>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</si>
  <si>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</si>
  <si>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</si>
  <si>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</si>
  <si>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</si>
  <si>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</si>
  <si>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</si>
  <si>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</si>
  <si>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</si>
  <si>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</si>
  <si>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</si>
  <si>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</si>
  <si>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</si>
  <si>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</si>
  <si>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</si>
  <si>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</si>
  <si>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</si>
  <si>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</si>
  <si>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</si>
  <si>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</si>
  <si>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</si>
  <si>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</si>
  <si>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</si>
  <si>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</si>
  <si>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</si>
  <si>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</si>
  <si>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</si>
  <si>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</si>
  <si>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</si>
  <si>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</si>
  <si>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</si>
  <si>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</si>
  <si>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</si>
  <si>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</si>
  <si>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</si>
  <si>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</si>
  <si>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</si>
  <si>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</si>
  <si>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</si>
  <si>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</si>
  <si>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</si>
  <si>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</si>
  <si>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</si>
  <si>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</si>
  <si>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</si>
  <si>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</si>
  <si>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</si>
  <si>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</si>
  <si>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</si>
  <si>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</si>
  <si>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</si>
  <si>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</si>
  <si>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</si>
  <si>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</si>
  <si>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</si>
  <si>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</si>
  <si>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</si>
  <si>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</si>
  <si>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</si>
  <si>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</si>
  <si>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</si>
  <si>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</si>
  <si>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</si>
  <si>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</si>
  <si>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</si>
  <si>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</si>
  <si>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</si>
  <si>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</si>
  <si>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</si>
  <si>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</si>
  <si>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</si>
  <si>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</si>
  <si>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</si>
  <si>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</si>
  <si>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</si>
  <si>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</si>
  <si>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</si>
  <si>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</si>
  <si>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</si>
  <si>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</si>
  <si>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</si>
  <si>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</si>
  <si>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</si>
  <si>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</si>
  <si>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</si>
  <si>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</si>
  <si>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</si>
  <si>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</si>
  <si>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</si>
  <si>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</si>
  <si>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</si>
  <si>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</si>
  <si>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</si>
  <si>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</si>
  <si>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</si>
  <si>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</si>
  <si>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</si>
  <si>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</si>
  <si>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</si>
  <si>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</si>
  <si>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</si>
  <si>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</si>
  <si>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</si>
  <si>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</si>
  <si>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</si>
  <si>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</si>
  <si>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</si>
  <si>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</si>
  <si>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</si>
  <si>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</si>
  <si>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</si>
  <si>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</si>
  <si>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</si>
  <si>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</si>
  <si>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</si>
  <si>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</si>
  <si>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</si>
  <si>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</si>
  <si>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</si>
  <si>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</si>
  <si>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</si>
  <si>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</si>
  <si>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</si>
  <si>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</si>
  <si>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</si>
  <si>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</si>
  <si>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</si>
  <si>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</si>
  <si>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</si>
  <si>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</si>
  <si>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</si>
  <si>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</si>
  <si>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</si>
  <si>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</si>
  <si>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</si>
  <si>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</si>
  <si>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</si>
  <si>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</si>
  <si>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</si>
  <si>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</si>
  <si>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</si>
  <si>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</si>
  <si>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</si>
  <si>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</si>
  <si>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</si>
  <si>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</si>
  <si>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</si>
  <si>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</si>
  <si>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</si>
  <si>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</si>
  <si>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</si>
  <si>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</si>
  <si>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</si>
  <si>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</si>
  <si>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</si>
  <si>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</si>
  <si>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</si>
  <si>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</si>
  <si>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</si>
  <si>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</si>
  <si>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</si>
  <si>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</si>
  <si>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</si>
  <si>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</si>
  <si>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</si>
  <si>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</si>
  <si>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</si>
  <si>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</si>
  <si>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</si>
  <si>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</si>
  <si>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</si>
  <si>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</si>
  <si>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</si>
  <si>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</si>
  <si>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</si>
  <si>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</si>
  <si>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</si>
  <si>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</si>
  <si>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</si>
  <si>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</si>
  <si>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</si>
  <si>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</si>
  <si>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</si>
  <si>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</si>
  <si>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</si>
  <si>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</si>
  <si>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</si>
  <si>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</si>
  <si>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</si>
  <si>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</si>
  <si>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</si>
  <si>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</si>
  <si>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</si>
  <si>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</si>
  <si>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</si>
  <si>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</si>
  <si>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</si>
  <si>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</si>
  <si>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</si>
  <si>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</si>
  <si>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</si>
  <si>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</si>
  <si>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</si>
  <si>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</si>
  <si>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</si>
  <si>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</si>
  <si>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</si>
  <si>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</si>
  <si>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</si>
  <si>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</si>
  <si>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</si>
  <si>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</si>
  <si>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</si>
  <si>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</si>
  <si>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</si>
  <si>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</si>
  <si>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</si>
  <si>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</si>
  <si>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</si>
  <si>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</si>
  <si>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</si>
  <si>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</si>
  <si>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</si>
  <si>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</si>
  <si>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</si>
  <si>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</si>
  <si>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</si>
  <si>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</si>
  <si>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</si>
  <si>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</si>
  <si>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</si>
  <si>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</si>
  <si>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</si>
  <si>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</si>
  <si>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</si>
  <si>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</si>
  <si>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</si>
  <si>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</si>
  <si>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</si>
  <si>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</si>
  <si>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</si>
  <si>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</si>
  <si>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</si>
  <si>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</si>
  <si>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</si>
  <si>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</si>
  <si>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</si>
  <si>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</si>
  <si>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</si>
  <si>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</si>
  <si>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</si>
  <si>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</si>
  <si>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</si>
  <si>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</si>
  <si>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</si>
  <si>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</si>
  <si>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</si>
  <si>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</si>
  <si>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</si>
  <si>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</si>
  <si>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</si>
  <si>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</si>
  <si>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</si>
  <si>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</si>
  <si>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</si>
  <si>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</si>
  <si>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</si>
  <si>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</si>
  <si>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</si>
  <si>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</si>
  <si>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</si>
  <si>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</si>
  <si>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</si>
  <si>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</si>
  <si>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</si>
  <si>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</si>
  <si>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</si>
  <si>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</si>
  <si>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</si>
  <si>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</si>
  <si>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</si>
  <si>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</si>
  <si>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</si>
  <si>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</si>
  <si>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</si>
  <si>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</si>
  <si>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</si>
  <si>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</si>
  <si>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</si>
  <si>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</si>
  <si>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</si>
  <si>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</si>
  <si>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</si>
  <si>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</si>
  <si>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</si>
  <si>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</si>
  <si>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</si>
  <si>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</si>
  <si>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</si>
  <si>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</si>
  <si>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</si>
  <si>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</si>
  <si>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</si>
  <si>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</si>
  <si>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</si>
  <si>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</si>
  <si>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</si>
  <si>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</si>
  <si>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</si>
  <si>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</si>
  <si>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</si>
  <si>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</si>
  <si>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</si>
  <si>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</si>
  <si>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</si>
  <si>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</si>
  <si>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</si>
  <si>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</si>
  <si>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</si>
  <si>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</si>
  <si>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</si>
  <si>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</si>
  <si>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</si>
  <si>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</si>
  <si>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</si>
  <si>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</si>
  <si>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</si>
  <si>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</si>
  <si>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</si>
  <si>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</si>
  <si>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</si>
  <si>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</si>
  <si>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</si>
  <si>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</si>
  <si>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</si>
  <si>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</si>
  <si>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</si>
  <si>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</si>
  <si>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</si>
  <si>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</si>
  <si>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</si>
  <si>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</si>
  <si>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</si>
  <si>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</si>
  <si>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</si>
  <si>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</si>
  <si>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</si>
  <si>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</si>
  <si>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</si>
  <si>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</si>
  <si>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</si>
  <si>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</si>
  <si>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</si>
  <si>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</si>
  <si>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</si>
  <si>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</si>
  <si>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</si>
  <si>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</si>
  <si>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</si>
  <si>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</si>
  <si>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</si>
  <si>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</si>
  <si>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</si>
  <si>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</si>
  <si>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</si>
  <si>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</si>
  <si>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</si>
  <si>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</si>
  <si>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</si>
  <si>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</si>
  <si>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</si>
  <si>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</si>
  <si>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</si>
  <si>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</si>
  <si>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</si>
  <si>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</si>
  <si>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</si>
  <si>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</si>
  <si>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</si>
  <si>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</si>
  <si>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</si>
  <si>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</si>
  <si>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</si>
  <si>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</si>
  <si>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</si>
  <si>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</si>
  <si>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</si>
  <si>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</si>
  <si>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</si>
  <si>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</si>
  <si>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</si>
  <si>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</si>
  <si>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</si>
  <si>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</si>
  <si>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</si>
  <si>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</si>
  <si>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</si>
  <si>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</si>
  <si>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</si>
  <si>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</si>
  <si>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</si>
  <si>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</si>
  <si>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</si>
  <si>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</si>
  <si>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</si>
  <si>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</si>
  <si>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</si>
  <si>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</si>
  <si>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</si>
  <si>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</si>
  <si>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</si>
  <si>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</si>
  <si>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</si>
  <si>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</si>
  <si>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</si>
  <si>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</si>
  <si>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</si>
  <si>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</si>
  <si>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</si>
  <si>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</si>
  <si>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</si>
  <si>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</si>
  <si>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</si>
  <si>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</si>
  <si>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</si>
  <si>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</si>
  <si>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</si>
  <si>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</si>
  <si>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</si>
  <si>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</si>
  <si>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</si>
  <si>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</si>
  <si>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</si>
  <si>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</si>
  <si>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</si>
  <si>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</si>
  <si>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</si>
  <si>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</si>
  <si>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</si>
  <si>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</si>
  <si>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</si>
  <si>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</si>
  <si>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</si>
  <si>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</si>
  <si>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</si>
  <si>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</si>
  <si>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</si>
  <si>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</si>
  <si>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</si>
  <si>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</si>
  <si>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</si>
  <si>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</si>
  <si>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</si>
  <si>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</si>
  <si>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</si>
  <si>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</si>
  <si>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</si>
  <si>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</si>
  <si>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</si>
  <si>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</si>
  <si>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</si>
  <si>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</si>
  <si>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</si>
  <si>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</si>
  <si>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</si>
  <si>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</si>
  <si>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</si>
  <si>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</si>
  <si>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</si>
  <si>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</si>
  <si>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</si>
  <si>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</si>
  <si>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</si>
  <si>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</si>
  <si>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</si>
  <si>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</si>
  <si>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</si>
  <si>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</si>
  <si>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</si>
  <si>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</si>
  <si>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</si>
  <si>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</si>
  <si>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</si>
  <si>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</si>
  <si>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</si>
  <si>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</si>
  <si>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</si>
  <si>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</si>
  <si>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</si>
  <si>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</si>
  <si>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</si>
  <si>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</si>
  <si>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</si>
  <si>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</si>
  <si>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</si>
  <si>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</si>
  <si>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</si>
  <si>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</si>
  <si>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</si>
  <si>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</si>
  <si>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</si>
  <si>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</si>
  <si>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</si>
  <si>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</si>
  <si>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</si>
  <si>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</si>
  <si>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</si>
  <si>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</si>
  <si>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</si>
  <si>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</si>
  <si>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</si>
  <si>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</si>
  <si>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</si>
  <si>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</si>
  <si>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</si>
  <si>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</si>
  <si>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</si>
  <si>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</si>
  <si>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</si>
  <si>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</si>
  <si>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</si>
  <si>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</si>
  <si>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</si>
  <si>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</si>
  <si>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</si>
  <si>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</si>
  <si>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</si>
  <si>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</si>
  <si>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</si>
  <si>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</si>
  <si>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</si>
  <si>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</si>
  <si>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</si>
  <si>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</si>
  <si>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</si>
  <si>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</si>
  <si>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</si>
  <si>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</si>
  <si>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</si>
  <si>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</si>
  <si>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</si>
  <si>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</si>
  <si>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</si>
  <si>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</si>
  <si>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</si>
  <si>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</si>
  <si>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</si>
  <si>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</si>
  <si>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</si>
  <si>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</si>
  <si>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</si>
  <si>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</si>
  <si>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</si>
  <si>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</si>
  <si>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</si>
  <si>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</si>
  <si>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</si>
  <si>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</si>
  <si>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</si>
  <si>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</si>
  <si>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</si>
  <si>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</si>
  <si>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</si>
  <si>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</si>
  <si>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</si>
  <si>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</si>
  <si>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</si>
  <si>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</si>
  <si>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</si>
  <si>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</si>
  <si>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</si>
  <si>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</si>
  <si>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</si>
  <si>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</si>
  <si>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</si>
  <si>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</si>
  <si>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</si>
  <si>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</si>
  <si>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</si>
  <si>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</si>
  <si>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</si>
  <si>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</si>
  <si>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</si>
  <si>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</si>
  <si>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</si>
  <si>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</si>
  <si>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</si>
  <si>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</si>
  <si>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</si>
  <si>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</si>
  <si>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</si>
  <si>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</si>
  <si>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</si>
  <si>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</si>
  <si>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</si>
  <si>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</si>
  <si>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</si>
  <si>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</si>
  <si>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</si>
  <si>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</si>
  <si>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</si>
  <si>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</si>
  <si>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</si>
  <si>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</si>
  <si>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</si>
  <si>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</si>
  <si>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</si>
  <si>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</si>
  <si>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</si>
  <si>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</si>
  <si>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</si>
  <si>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</si>
  <si>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</si>
  <si>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</si>
  <si>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</si>
  <si>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</si>
  <si>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</si>
  <si>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</si>
  <si>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</si>
  <si>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</si>
  <si>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</si>
  <si>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</si>
  <si>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</si>
  <si>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</si>
  <si>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</si>
  <si>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</si>
  <si>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</si>
  <si>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</si>
  <si>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</si>
  <si>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</si>
  <si>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</si>
  <si>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</si>
  <si>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</si>
  <si>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</si>
  <si>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</si>
  <si>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</si>
  <si>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</si>
  <si>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</si>
  <si>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</si>
  <si>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</si>
  <si>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</si>
  <si>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</si>
  <si>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</si>
  <si>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</si>
  <si>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</si>
  <si>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</si>
  <si>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</si>
  <si>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</si>
  <si>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</si>
  <si>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</si>
  <si>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</si>
  <si>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</si>
  <si>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</si>
  <si>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</si>
  <si>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</si>
  <si>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</si>
  <si>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</si>
  <si>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</si>
  <si>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</si>
  <si>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</si>
  <si>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</si>
  <si>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</si>
  <si>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</si>
  <si>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</si>
  <si>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</si>
  <si>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</si>
  <si>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</si>
  <si>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</si>
  <si>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</si>
  <si>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</si>
  <si>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</si>
  <si>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</si>
  <si>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</si>
  <si>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</si>
  <si>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</si>
  <si>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</si>
  <si>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</si>
  <si>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</si>
  <si>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</si>
  <si>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</si>
  <si>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</si>
  <si>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</si>
  <si>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</si>
  <si>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</si>
  <si>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</si>
  <si>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</si>
  <si>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</si>
  <si>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</si>
  <si>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</si>
  <si>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</si>
  <si>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</si>
  <si>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</si>
  <si>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</si>
  <si>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</si>
  <si>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</si>
  <si>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</si>
  <si>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</si>
  <si>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</si>
  <si>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</si>
  <si>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</si>
  <si>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</si>
  <si>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</si>
  <si>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</si>
  <si>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</si>
  <si>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</si>
  <si>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</si>
  <si>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</si>
  <si>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</si>
  <si>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</si>
  <si>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</si>
  <si>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</si>
  <si>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</si>
  <si>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</si>
  <si>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</si>
  <si>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</si>
  <si>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</si>
  <si>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</si>
  <si>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</si>
  <si>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</si>
  <si>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</si>
  <si>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</si>
  <si>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</si>
  <si>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</si>
  <si>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</si>
  <si>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</si>
  <si>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</si>
  <si>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</si>
  <si>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</si>
  <si>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</si>
  <si>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</si>
  <si>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</si>
  <si>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</si>
  <si>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</si>
  <si>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</si>
  <si>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</si>
  <si>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</si>
  <si>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</si>
  <si>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</si>
  <si>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</si>
  <si>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</si>
  <si>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</si>
  <si>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</si>
  <si>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</si>
  <si>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</si>
  <si>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</si>
  <si>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</si>
  <si>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</si>
  <si>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</si>
  <si>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</si>
  <si>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</si>
  <si>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</si>
  <si>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</si>
  <si>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</si>
  <si>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</si>
  <si>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</si>
  <si>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</si>
  <si>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</si>
  <si>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</si>
  <si>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</si>
  <si>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</si>
  <si>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</si>
  <si>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</si>
  <si>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</si>
  <si>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</si>
  <si>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</si>
  <si>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</si>
  <si>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</si>
  <si>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</si>
  <si>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</si>
  <si>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</si>
  <si>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</si>
  <si>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</si>
  <si>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</si>
  <si>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</si>
  <si>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</si>
  <si>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</si>
  <si>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</si>
  <si>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</si>
  <si>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</si>
  <si>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</si>
  <si>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</si>
  <si>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</si>
  <si>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</si>
  <si>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</si>
  <si>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</si>
  <si>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</si>
  <si>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</si>
  <si>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</si>
  <si>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</si>
  <si>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</si>
  <si>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</si>
  <si>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</si>
  <si>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</si>
  <si>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</si>
  <si>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</si>
  <si>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</si>
  <si>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</si>
  <si>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</si>
  <si>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</si>
  <si>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</si>
  <si>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</si>
  <si>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</si>
  <si>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</si>
  <si>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</si>
  <si>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</si>
  <si>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</si>
  <si>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</si>
  <si>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</si>
  <si>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</si>
  <si>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</si>
  <si>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</si>
  <si>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</si>
  <si>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</si>
  <si>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</si>
  <si>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</si>
  <si>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</si>
  <si>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</si>
  <si>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</si>
  <si>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</si>
  <si>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</si>
  <si>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</si>
  <si>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</si>
  <si>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</si>
  <si>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</si>
  <si>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</si>
  <si>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</si>
  <si>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</si>
  <si>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</si>
  <si>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</si>
  <si>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</si>
  <si>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</si>
  <si>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</si>
  <si>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</si>
  <si>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</si>
  <si>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</si>
  <si>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</si>
  <si>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</si>
  <si>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</si>
  <si>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</si>
  <si>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</si>
  <si>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</si>
  <si>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</si>
  <si>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</si>
  <si>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</si>
  <si>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</si>
  <si>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</si>
  <si>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</si>
  <si>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</si>
  <si>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</si>
  <si>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</si>
  <si>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</si>
  <si>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</si>
  <si>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</si>
  <si>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</si>
  <si>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</si>
  <si>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</si>
  <si>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</si>
  <si>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</si>
  <si>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</si>
  <si>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</si>
  <si>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</si>
  <si>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</si>
  <si>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</si>
  <si>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</si>
  <si>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</si>
  <si>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</si>
  <si>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</si>
  <si>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</si>
  <si>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</si>
  <si>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</si>
  <si>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</si>
  <si>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</si>
  <si>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</si>
  <si>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</si>
  <si>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</si>
  <si>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</si>
  <si>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</si>
  <si>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</si>
  <si>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</si>
  <si>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</si>
  <si>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</si>
  <si>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</si>
  <si>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</si>
  <si>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</si>
  <si>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</si>
  <si>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</si>
  <si>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</si>
  <si>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</si>
  <si>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</si>
  <si>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</si>
  <si>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</si>
  <si>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</si>
  <si>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</si>
  <si>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</si>
  <si>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</si>
  <si>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</si>
  <si>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</si>
  <si>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</si>
  <si>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</si>
  <si>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</si>
  <si>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</si>
  <si>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</si>
  <si>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</si>
  <si>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</si>
  <si>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</si>
  <si>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</si>
  <si>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</si>
  <si>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</si>
  <si>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</si>
  <si>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</si>
  <si>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</si>
  <si>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</si>
  <si>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</si>
  <si>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</si>
  <si>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</si>
  <si>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</si>
  <si>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</si>
  <si>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</si>
  <si>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</si>
  <si>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</si>
  <si>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</si>
  <si>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</si>
  <si>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</si>
  <si>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</si>
  <si>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</si>
  <si>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</si>
  <si>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</si>
  <si>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</si>
  <si>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</si>
  <si>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</si>
  <si>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</si>
  <si>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</si>
  <si>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</si>
  <si>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</si>
  <si>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</si>
  <si>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</si>
  <si>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</si>
  <si>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</si>
  <si>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</si>
  <si>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</si>
  <si>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</si>
  <si>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</si>
  <si>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</si>
  <si>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</si>
  <si>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</si>
  <si>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</si>
  <si>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</si>
  <si>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</si>
  <si>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</si>
  <si>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</si>
  <si>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</si>
  <si>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</si>
  <si>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</si>
  <si>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</si>
  <si>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</si>
  <si>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</si>
  <si>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</si>
  <si>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</si>
  <si>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</si>
  <si>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</si>
  <si>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</si>
  <si>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</si>
  <si>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</si>
  <si>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</si>
  <si>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</si>
  <si>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</si>
  <si>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</si>
  <si>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</si>
  <si>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</si>
  <si>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</si>
  <si>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</si>
  <si>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</si>
  <si>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</si>
  <si>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</si>
  <si>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</si>
  <si>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</si>
  <si>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</si>
  <si>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</si>
  <si>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</si>
  <si>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</si>
  <si>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</si>
  <si>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</si>
  <si>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</si>
  <si>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</si>
  <si>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</si>
  <si>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</si>
  <si>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</si>
  <si>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</si>
  <si>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</si>
  <si>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</si>
  <si>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</si>
  <si>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</si>
  <si>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</si>
  <si>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</si>
  <si>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</si>
  <si>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</si>
  <si>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</si>
  <si>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</si>
  <si>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</si>
  <si>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</si>
  <si>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</si>
  <si>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</si>
  <si>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</si>
  <si>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</si>
  <si>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</si>
  <si>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</si>
  <si>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</si>
  <si>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</si>
  <si>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</si>
  <si>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</si>
  <si>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</si>
  <si>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</si>
  <si>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</si>
  <si>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</si>
  <si>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</si>
  <si>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</si>
  <si>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</si>
  <si>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</si>
  <si>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</si>
  <si>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</si>
  <si>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</si>
  <si>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</si>
  <si>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</si>
  <si>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</si>
  <si>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</si>
  <si>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</si>
  <si>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</si>
  <si>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</si>
  <si>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</si>
  <si>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</si>
  <si>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</si>
  <si>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</si>
  <si>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</si>
  <si>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</si>
  <si>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</si>
  <si>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</si>
  <si>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</si>
  <si>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</si>
  <si>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</si>
  <si>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</si>
  <si>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</si>
  <si>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</si>
  <si>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</si>
  <si>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</si>
  <si>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</si>
  <si>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</si>
  <si>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</si>
  <si>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</si>
  <si>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</si>
  <si>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</si>
  <si>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</si>
  <si>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</si>
  <si>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</si>
  <si>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</si>
  <si>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</si>
  <si>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</si>
  <si>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</si>
  <si>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</si>
  <si>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</si>
  <si>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</si>
  <si>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</si>
  <si>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</si>
  <si>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</si>
  <si>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</si>
  <si>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</si>
  <si>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</si>
  <si>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</si>
  <si>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</si>
  <si>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</si>
  <si>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</si>
  <si>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</si>
  <si>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</si>
  <si>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</si>
  <si>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</si>
  <si>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</si>
  <si>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</si>
  <si>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</si>
  <si>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</si>
  <si>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</si>
  <si>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</si>
  <si>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</si>
  <si>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</si>
  <si>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</si>
  <si>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</si>
  <si>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</si>
  <si>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</si>
  <si>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</si>
  <si>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</si>
  <si>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</si>
  <si>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</si>
  <si>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</si>
  <si>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</si>
  <si>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</si>
  <si>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</si>
  <si>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</si>
  <si>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</si>
  <si>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</si>
  <si>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</si>
  <si>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</si>
  <si>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</si>
  <si>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</si>
  <si>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</si>
  <si>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</si>
  <si>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</si>
  <si>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</si>
  <si>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</si>
  <si>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</si>
  <si>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</si>
  <si>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</si>
  <si>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</si>
  <si>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</si>
  <si>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</si>
  <si>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</si>
  <si>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</si>
  <si>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</si>
  <si>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</si>
  <si>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</si>
  <si>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</si>
  <si>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</si>
  <si>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</si>
  <si>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</si>
  <si>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</si>
  <si>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</si>
  <si>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</si>
  <si>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</si>
  <si>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</si>
  <si>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</si>
  <si>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</si>
  <si>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</si>
  <si>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</si>
  <si>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</si>
  <si>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</si>
  <si>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</si>
  <si>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</si>
  <si>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</si>
  <si>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</si>
  <si>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</si>
  <si>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</si>
  <si>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</si>
  <si>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</si>
  <si>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</si>
  <si>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</si>
  <si>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</si>
  <si>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</si>
  <si>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</si>
  <si>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</si>
  <si>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</si>
  <si>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</si>
  <si>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</si>
  <si>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</si>
  <si>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</si>
  <si>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</si>
  <si>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</si>
  <si>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</si>
  <si>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</si>
  <si>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</si>
  <si>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</si>
  <si>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</si>
  <si>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</si>
  <si>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</si>
  <si>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</si>
  <si>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</si>
  <si>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</si>
  <si>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</si>
  <si>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</si>
  <si>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</si>
  <si>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</si>
  <si>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</si>
  <si>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</si>
  <si>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</si>
  <si>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</si>
  <si>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</si>
  <si>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</si>
  <si>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</si>
  <si>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</si>
  <si>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</si>
  <si>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</si>
  <si>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</si>
  <si>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</si>
  <si>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</si>
  <si>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</si>
  <si>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</si>
  <si>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</si>
  <si>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</si>
  <si>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</si>
  <si>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</si>
  <si>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</si>
  <si>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</si>
  <si>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</si>
  <si>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</si>
  <si>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</si>
  <si>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</si>
  <si>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</si>
  <si>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</si>
  <si>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</si>
  <si>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</si>
  <si>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</si>
  <si>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</si>
  <si>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</si>
  <si>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</si>
  <si>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</si>
  <si>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</si>
  <si>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</si>
  <si>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</si>
  <si>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</si>
  <si>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</si>
  <si>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</si>
  <si>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</si>
  <si>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</si>
  <si>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</si>
  <si>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</si>
  <si>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</si>
  <si>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</si>
  <si>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</si>
  <si>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</si>
  <si>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</si>
  <si>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</si>
  <si>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</si>
  <si>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</si>
  <si>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</si>
  <si>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</si>
  <si>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</si>
  <si>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</si>
  <si>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</si>
  <si>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</si>
  <si>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</si>
  <si>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</si>
  <si>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</si>
  <si>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</si>
  <si>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</si>
  <si>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</si>
  <si>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</si>
  <si>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</si>
  <si>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</si>
  <si>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</si>
  <si>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</si>
  <si>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</si>
  <si>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</si>
  <si>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</si>
  <si>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</si>
  <si>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</si>
  <si>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</si>
  <si>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</si>
  <si>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</si>
  <si>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</si>
  <si>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</si>
  <si>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</si>
  <si>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</si>
  <si>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</si>
  <si>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</si>
  <si>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</si>
  <si>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</si>
  <si>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</si>
  <si>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</si>
  <si>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</si>
  <si>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</si>
  <si>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</si>
  <si>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</si>
  <si>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</si>
  <si>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</si>
  <si>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</si>
  <si>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</si>
  <si>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</si>
  <si>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</si>
  <si>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</si>
  <si>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</si>
  <si>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</si>
  <si>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</si>
  <si>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</si>
  <si>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</si>
  <si>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</si>
  <si>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</si>
  <si>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</si>
  <si>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</si>
  <si>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</si>
  <si>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</si>
  <si>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</si>
  <si>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</si>
  <si>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</si>
  <si>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</si>
  <si>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</si>
  <si>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</si>
  <si>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</si>
  <si>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</si>
  <si>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</si>
  <si>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</si>
  <si>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</si>
  <si>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</si>
  <si>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</si>
  <si>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</si>
  <si>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</si>
  <si>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</si>
  <si>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</si>
  <si>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</si>
  <si>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</si>
  <si>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</si>
  <si>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</si>
  <si>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</si>
  <si>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</si>
  <si>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</si>
  <si>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</si>
  <si>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</si>
  <si>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</si>
  <si>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</si>
  <si>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</si>
  <si>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</si>
  <si>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</si>
  <si>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</si>
  <si>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</si>
  <si>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</si>
  <si>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</si>
  <si>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</si>
  <si>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</si>
  <si>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</si>
  <si>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</si>
  <si>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</si>
  <si>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</si>
  <si>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</si>
  <si>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</si>
  <si>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</si>
  <si>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</si>
  <si>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</si>
  <si>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</si>
  <si>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</si>
  <si>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</si>
  <si>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</si>
  <si>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</si>
  <si>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</si>
  <si>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</si>
  <si>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</si>
  <si>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</si>
  <si>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</si>
  <si>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</si>
  <si>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</si>
  <si>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</si>
  <si>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</si>
  <si>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</si>
  <si>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</si>
  <si>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</si>
  <si>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</si>
  <si>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</si>
  <si>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</si>
  <si>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</si>
  <si>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</si>
  <si>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</si>
  <si>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</si>
  <si>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</si>
  <si>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</si>
  <si>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</si>
  <si>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</si>
  <si>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</si>
  <si>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</si>
  <si>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</si>
  <si>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</si>
  <si>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</si>
  <si>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</si>
  <si>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</si>
  <si>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</si>
  <si>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</si>
  <si>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</si>
  <si>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</si>
  <si>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</si>
  <si>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</si>
  <si>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</si>
  <si>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</si>
  <si>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</si>
  <si>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</si>
  <si>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</si>
  <si>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</si>
  <si>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</si>
  <si>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</si>
  <si>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</si>
  <si>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</si>
  <si>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</si>
  <si>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</si>
  <si>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</si>
  <si>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</si>
  <si>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</si>
  <si>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</si>
  <si>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</si>
  <si>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</si>
  <si>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</si>
  <si>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</si>
  <si>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</si>
  <si>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</si>
  <si>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</si>
  <si>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</si>
  <si>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</si>
  <si>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</si>
  <si>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</si>
  <si>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</si>
  <si>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</si>
  <si>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</si>
  <si>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</si>
  <si>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</si>
  <si>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</si>
  <si>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</si>
  <si>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</si>
  <si>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</si>
  <si>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</si>
  <si>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</si>
  <si>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</si>
  <si>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</si>
  <si>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</si>
  <si>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</si>
  <si>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</si>
  <si>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</si>
  <si>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</si>
  <si>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</si>
  <si>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</si>
  <si>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</si>
  <si>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</si>
  <si>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</si>
  <si>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</si>
  <si>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</si>
  <si>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</si>
  <si>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</si>
  <si>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</si>
  <si>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</si>
  <si>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</si>
  <si>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</si>
  <si>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</si>
  <si>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</si>
  <si>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</si>
  <si>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</si>
  <si>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</si>
  <si>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</si>
  <si>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</si>
  <si>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</si>
  <si>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</si>
  <si>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</si>
  <si>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</si>
  <si>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</si>
  <si>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</si>
  <si>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</si>
  <si>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</si>
  <si>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</si>
  <si>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</si>
  <si>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</si>
  <si>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</si>
  <si>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</si>
  <si>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</si>
  <si>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</si>
  <si>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</si>
  <si>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</si>
  <si>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</si>
  <si>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</si>
  <si>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</si>
  <si>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</si>
  <si>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</si>
  <si>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</si>
  <si>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</si>
  <si>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</si>
  <si>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</si>
  <si>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</si>
  <si>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</si>
  <si>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</si>
  <si>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</si>
  <si>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</si>
  <si>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</si>
  <si>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</si>
  <si>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</si>
  <si>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</si>
  <si>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</si>
  <si>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</si>
  <si>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</si>
  <si>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</si>
  <si>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</si>
  <si>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</si>
  <si>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</si>
  <si>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</si>
  <si>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</si>
  <si>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</si>
  <si>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</si>
  <si>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</si>
  <si>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</si>
  <si>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</si>
  <si>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</si>
  <si>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</si>
  <si>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</si>
  <si>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</si>
  <si>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</si>
  <si>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</si>
  <si>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</si>
  <si>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</si>
  <si>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</si>
  <si>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</si>
  <si>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</si>
  <si>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</si>
  <si>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</si>
  <si>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</si>
  <si>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</si>
  <si>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</si>
  <si>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</si>
  <si>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</si>
  <si>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</si>
  <si>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</si>
  <si>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</si>
  <si>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</si>
  <si>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</si>
  <si>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</si>
  <si>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</si>
  <si>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</si>
  <si>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</si>
  <si>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</si>
  <si>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</si>
  <si>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</si>
  <si>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</si>
  <si>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</si>
  <si>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</si>
  <si>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</si>
  <si>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</si>
  <si>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</si>
  <si>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</si>
  <si>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</si>
  <si>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</si>
  <si>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</si>
  <si>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</si>
  <si>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</si>
  <si>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</si>
  <si>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</si>
  <si>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</si>
  <si>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</si>
  <si>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</si>
  <si>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</si>
  <si>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</si>
  <si>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</si>
  <si>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</si>
  <si>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</si>
  <si>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</si>
  <si>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</si>
  <si>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</si>
  <si>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</si>
  <si>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</si>
  <si>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</si>
  <si>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</si>
  <si>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</si>
  <si>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</si>
  <si>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</si>
  <si>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</si>
  <si>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</si>
  <si>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</si>
  <si>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</si>
  <si>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</si>
  <si>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</si>
  <si>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</si>
  <si>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</si>
  <si>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</si>
  <si>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</si>
  <si>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</si>
  <si>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</si>
  <si>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</si>
  <si>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</si>
  <si>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</si>
  <si>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</si>
  <si>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</si>
  <si>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</si>
  <si>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</si>
  <si>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</si>
  <si>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</si>
  <si>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</si>
  <si>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</si>
  <si>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</si>
  <si>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</si>
  <si>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</si>
  <si>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</si>
  <si>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</si>
  <si>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</si>
  <si>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</si>
  <si>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</si>
  <si>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</si>
  <si>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</si>
  <si>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</si>
  <si>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</si>
  <si>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</si>
  <si>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</si>
  <si>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</si>
  <si>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</si>
  <si>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</si>
  <si>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</si>
  <si>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</si>
  <si>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</si>
  <si>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</si>
  <si>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</si>
  <si>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</si>
  <si>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</si>
  <si>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</si>
  <si>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</si>
  <si>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</si>
  <si>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</si>
  <si>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</si>
  <si>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</si>
  <si>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</si>
  <si>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</si>
  <si>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</si>
  <si>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</si>
  <si>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</si>
  <si>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</si>
  <si>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</si>
  <si>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</si>
  <si>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</si>
  <si>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</si>
  <si>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</si>
  <si>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</si>
  <si>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</si>
  <si>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</si>
  <si>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</si>
  <si>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</si>
  <si>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</si>
  <si>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</si>
  <si>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</si>
  <si>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</si>
  <si>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</si>
  <si>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</si>
  <si>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</si>
  <si>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</si>
  <si>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</si>
  <si>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</si>
  <si>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</si>
  <si>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</si>
  <si>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</si>
  <si>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</si>
  <si>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</si>
  <si>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</si>
  <si>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</si>
  <si>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</si>
  <si>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</si>
  <si>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</si>
  <si>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</si>
  <si>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</si>
  <si>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</si>
  <si>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</si>
  <si>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</si>
  <si>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</si>
  <si>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</si>
  <si>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</si>
  <si>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</si>
  <si>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</si>
  <si>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</si>
  <si>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</si>
  <si>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</si>
  <si>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</si>
  <si>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</si>
  <si>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</si>
  <si>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</si>
  <si>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</si>
  <si>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</si>
  <si>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</si>
  <si>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</si>
  <si>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</si>
  <si>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</si>
  <si>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</si>
  <si>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</si>
  <si>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</si>
  <si>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</si>
  <si>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</si>
  <si>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</si>
  <si>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</si>
  <si>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</si>
  <si>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</si>
  <si>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</si>
  <si>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</si>
  <si>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</si>
  <si>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</si>
  <si>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</si>
  <si>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</si>
  <si>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</si>
  <si>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</si>
  <si>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</si>
  <si>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</si>
  <si>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</si>
  <si>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</si>
  <si>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</si>
  <si>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</si>
  <si>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</si>
  <si>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</si>
  <si>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</si>
  <si>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</si>
  <si>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</si>
  <si>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</si>
  <si>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</si>
  <si>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</si>
  <si>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</si>
  <si>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</si>
  <si>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</si>
  <si>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</si>
  <si>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</si>
  <si>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</si>
  <si>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</si>
  <si>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</si>
  <si>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</si>
  <si>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</si>
  <si>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</si>
  <si>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</si>
  <si>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</si>
  <si>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</si>
  <si>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</si>
  <si>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</si>
  <si>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</si>
  <si>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</si>
  <si>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</si>
  <si>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</si>
  <si>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</si>
  <si>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</si>
  <si>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</si>
  <si>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</si>
  <si>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</si>
  <si>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</si>
  <si>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</si>
  <si>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</si>
  <si>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</si>
  <si>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</si>
  <si>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</si>
  <si>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</si>
  <si>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</si>
  <si>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</si>
  <si>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</si>
  <si>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</si>
  <si>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</si>
  <si>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</si>
  <si>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</si>
  <si>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</si>
  <si>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</si>
  <si>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</si>
  <si>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</si>
  <si>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</si>
  <si>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</si>
  <si>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</si>
  <si>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</si>
  <si>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</si>
  <si>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</si>
  <si>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</si>
  <si>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</si>
  <si>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</si>
  <si>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</si>
  <si>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</si>
  <si>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</si>
  <si>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</si>
  <si>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</si>
  <si>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</si>
  <si>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</si>
  <si>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</si>
  <si>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</si>
  <si>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</si>
  <si>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</si>
  <si>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</si>
  <si>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</si>
  <si>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</si>
  <si>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</si>
  <si>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</si>
  <si>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</si>
  <si>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</si>
  <si>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</si>
  <si>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</si>
  <si>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</si>
  <si>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</si>
  <si>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</si>
  <si>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</si>
  <si>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</si>
  <si>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</si>
  <si>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</si>
  <si>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</si>
  <si>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</si>
  <si>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</si>
  <si>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</si>
  <si>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</si>
  <si>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</si>
  <si>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</si>
  <si>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</si>
  <si>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</si>
  <si>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</si>
  <si>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</si>
  <si>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</si>
  <si>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</si>
  <si>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</si>
  <si>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</si>
  <si>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</si>
  <si>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</si>
  <si>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</si>
  <si>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</si>
  <si>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</si>
  <si>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</si>
  <si>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</si>
  <si>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</si>
  <si>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</si>
  <si>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</si>
  <si>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</si>
  <si>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</si>
  <si>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</si>
  <si>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</si>
  <si>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</si>
  <si>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</si>
  <si>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</si>
  <si>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</si>
  <si>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</si>
  <si>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</si>
  <si>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</si>
  <si>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</si>
  <si>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</si>
  <si>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</si>
  <si>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</si>
  <si>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</si>
  <si>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</si>
  <si>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</si>
  <si>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</si>
  <si>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</si>
  <si>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</si>
  <si>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</si>
  <si>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</si>
  <si>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</si>
  <si>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</si>
  <si>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</si>
  <si>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</si>
  <si>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</si>
  <si>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</si>
  <si>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</si>
  <si>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</si>
  <si>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</si>
  <si>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</si>
  <si>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</si>
  <si>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</si>
  <si>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</si>
  <si>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</si>
  <si>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</si>
  <si>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</si>
  <si>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</si>
  <si>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</si>
  <si>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</si>
  <si>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</si>
  <si>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</si>
  <si>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</si>
  <si>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</si>
  <si>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</si>
  <si>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</si>
  <si>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</si>
  <si>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</si>
  <si>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</si>
  <si>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</si>
  <si>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</si>
  <si>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</si>
  <si>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</si>
  <si>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</si>
  <si>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</si>
  <si>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</si>
  <si>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</si>
  <si>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</si>
  <si>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</si>
  <si>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</si>
  <si>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</si>
  <si>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</si>
  <si>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</si>
  <si>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</si>
  <si>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</si>
  <si>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</si>
  <si>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</si>
  <si>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</si>
  <si>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</si>
  <si>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</si>
  <si>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</si>
  <si>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</si>
  <si>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</si>
  <si>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</si>
  <si>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</si>
  <si>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</si>
  <si>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</si>
  <si>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</si>
  <si>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</si>
  <si>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</si>
  <si>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</si>
  <si>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</si>
  <si>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</si>
  <si>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</si>
  <si>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</si>
  <si>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</si>
  <si>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</si>
  <si>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</si>
  <si>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</si>
  <si>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</si>
  <si>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</si>
  <si>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</si>
  <si>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</si>
  <si>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</si>
  <si>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</si>
  <si>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</si>
  <si>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</si>
  <si>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</si>
  <si>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</si>
  <si>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</si>
  <si>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</si>
  <si>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</si>
  <si>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</si>
  <si>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</si>
  <si>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</si>
  <si>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</si>
  <si>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</si>
  <si>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</si>
  <si>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</si>
  <si>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</si>
  <si>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</si>
  <si>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</si>
  <si>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</si>
  <si>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</si>
  <si>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</si>
  <si>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</si>
  <si>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</si>
  <si>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</si>
  <si>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</si>
  <si>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</si>
  <si>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</si>
  <si>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</si>
  <si>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</si>
  <si>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</si>
  <si>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</si>
  <si>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</si>
  <si>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</si>
  <si>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</si>
  <si>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</si>
  <si>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</si>
  <si>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</si>
  <si>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</si>
  <si>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</si>
  <si>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</si>
  <si>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</si>
  <si>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</si>
  <si>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</si>
  <si>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</si>
  <si>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</si>
  <si>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</si>
  <si>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</si>
  <si>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</si>
  <si>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</si>
  <si>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</si>
  <si>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</si>
  <si>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</si>
  <si>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</si>
  <si>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</si>
  <si>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</si>
  <si>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</si>
  <si>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</si>
  <si>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</si>
  <si>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</si>
  <si>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</si>
  <si>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</si>
  <si>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</si>
  <si>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</si>
  <si>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</si>
  <si>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</si>
  <si>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</si>
  <si>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</si>
  <si>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</si>
  <si>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</si>
  <si>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</si>
  <si>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</si>
  <si>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</si>
  <si>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</si>
  <si>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</si>
  <si>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</si>
  <si>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</si>
  <si>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</si>
  <si>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</si>
  <si>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</si>
  <si>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</si>
  <si>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</si>
  <si>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</si>
  <si>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</si>
  <si>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</si>
  <si>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</si>
  <si>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</si>
  <si>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</si>
  <si>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</si>
  <si>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</si>
  <si>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</si>
  <si>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</si>
  <si>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</si>
  <si>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</si>
  <si>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</si>
  <si>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</si>
  <si>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</si>
  <si>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</si>
  <si>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</si>
  <si>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</si>
  <si>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</si>
  <si>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</si>
  <si>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</si>
  <si>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</si>
  <si>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</si>
  <si>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</si>
  <si>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</si>
  <si>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</si>
  <si>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</si>
  <si>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</si>
  <si>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</si>
  <si>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</si>
  <si>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</si>
  <si>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</si>
  <si>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</si>
  <si>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</si>
  <si>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</si>
  <si>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</si>
  <si>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</si>
  <si>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</si>
  <si>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</si>
  <si>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</si>
  <si>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</si>
  <si>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</si>
  <si>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</si>
  <si>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</si>
  <si>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</si>
  <si>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</si>
  <si>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</si>
  <si>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</si>
  <si>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</si>
  <si>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</si>
  <si>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</si>
  <si>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</si>
  <si>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</si>
  <si>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</si>
  <si>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</si>
  <si>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</si>
  <si>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</si>
  <si>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</si>
  <si>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</si>
  <si>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</si>
  <si>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</si>
  <si>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</si>
  <si>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</si>
  <si>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</si>
  <si>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</si>
  <si>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</si>
  <si>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</si>
  <si>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</si>
  <si>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</si>
  <si>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</si>
  <si>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</si>
  <si>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</si>
  <si>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</si>
  <si>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</si>
  <si>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</si>
  <si>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</si>
  <si>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</si>
  <si>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</si>
  <si>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</si>
  <si>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</si>
  <si>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</si>
  <si>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</si>
  <si>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</si>
  <si>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</si>
  <si>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</si>
  <si>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</si>
  <si>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</si>
  <si>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</si>
  <si>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</si>
  <si>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</si>
  <si>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</si>
  <si>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</si>
  <si>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</si>
  <si>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</si>
  <si>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</si>
  <si>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</si>
  <si>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</si>
  <si>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</si>
  <si>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</si>
  <si>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</si>
  <si>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</si>
  <si>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</si>
  <si>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</si>
  <si>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</si>
  <si>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</si>
  <si>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</si>
  <si>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</si>
  <si>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</si>
  <si>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</si>
  <si>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</si>
  <si>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</si>
  <si>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</si>
  <si>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</si>
  <si>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</si>
  <si>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</si>
  <si>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</si>
  <si>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</si>
  <si>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</si>
  <si>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</si>
  <si>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</si>
  <si>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</si>
  <si>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</si>
  <si>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</si>
  <si>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</si>
  <si>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</si>
  <si>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</si>
  <si>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</si>
  <si>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</si>
  <si>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</si>
  <si>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</si>
  <si>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</si>
  <si>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</si>
  <si>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</si>
  <si>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</si>
  <si>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</si>
  <si>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</si>
  <si>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</si>
  <si>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</si>
  <si>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</si>
  <si>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</si>
  <si>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</si>
  <si>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</si>
  <si>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</si>
  <si>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</si>
  <si>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</si>
  <si>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t>(8669,771-765,885)*0,5 'Přepočtené koeficientem množství</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</si>
  <si>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</si>
  <si>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</si>
  <si>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</si>
  <si>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</si>
  <si>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</si>
  <si>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</si>
  <si>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</si>
  <si>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</si>
  <si>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</si>
  <si>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</si>
  <si>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</si>
  <si>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</si>
  <si>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</si>
  <si>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</si>
  <si>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</si>
  <si>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</si>
  <si>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</si>
  <si>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</si>
  <si>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</si>
  <si>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</si>
  <si>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</si>
  <si>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</si>
  <si>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</si>
  <si>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</si>
  <si>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</si>
  <si>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</si>
  <si>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</si>
  <si>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</si>
  <si>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</si>
  <si>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</si>
  <si>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</si>
  <si>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</si>
  <si>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</si>
  <si>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</si>
  <si>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</si>
  <si>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</si>
  <si>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</si>
  <si>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</si>
  <si>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</si>
  <si>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</si>
  <si>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</si>
  <si>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</si>
  <si>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</si>
  <si>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</si>
  <si>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</si>
  <si>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</si>
  <si>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</si>
  <si>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</si>
  <si>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</si>
  <si>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</si>
  <si>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</si>
  <si>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</si>
  <si>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</si>
  <si>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</si>
  <si>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</si>
  <si>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</si>
  <si>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</si>
  <si>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</si>
  <si>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</si>
  <si>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</si>
  <si>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</si>
  <si>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</si>
  <si>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</si>
  <si>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</si>
  <si>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</si>
  <si>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</si>
  <si>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</si>
  <si>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</si>
  <si>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</si>
  <si>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</si>
  <si>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</si>
  <si>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</si>
  <si>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</si>
  <si>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</si>
  <si>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</si>
  <si>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</si>
  <si>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</si>
  <si>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</si>
  <si>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</si>
  <si>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</si>
  <si>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</si>
  <si>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</si>
  <si>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</si>
  <si>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</si>
  <si>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</si>
  <si>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</si>
  <si>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</si>
  <si>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</si>
  <si>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</si>
  <si>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</si>
  <si>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</si>
  <si>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</si>
  <si>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</si>
  <si>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</si>
  <si>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</si>
  <si>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</si>
  <si>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</si>
  <si>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</si>
  <si>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</si>
  <si>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</si>
  <si>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</si>
  <si>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</si>
  <si>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</si>
  <si>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</si>
  <si>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</si>
  <si>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</si>
  <si>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</si>
  <si>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</si>
  <si>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</si>
  <si>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</si>
  <si>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</si>
  <si>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</si>
  <si>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</si>
  <si>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</si>
  <si>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</si>
  <si>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</si>
  <si>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</si>
  <si>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</si>
  <si>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</si>
  <si>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</si>
  <si>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</si>
  <si>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</si>
  <si>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</si>
  <si>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</si>
  <si>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</si>
  <si>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</si>
  <si>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</si>
  <si>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</si>
  <si>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</si>
  <si>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</si>
  <si>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</si>
  <si>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</si>
  <si>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</si>
  <si>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</si>
  <si>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</si>
  <si>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</si>
  <si>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</si>
  <si>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</si>
  <si>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</si>
  <si>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</si>
  <si>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</si>
  <si>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</si>
  <si>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</si>
  <si>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</si>
  <si>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</si>
  <si>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</si>
  <si>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</si>
  <si>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</si>
  <si>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</si>
  <si>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</si>
  <si>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</si>
  <si>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</si>
  <si>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</si>
  <si>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</si>
  <si>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</si>
  <si>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</si>
  <si>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</si>
  <si>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</si>
  <si>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</si>
  <si>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</si>
  <si>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</si>
  <si>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</si>
  <si>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</si>
  <si>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</si>
  <si>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</si>
  <si>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</si>
  <si>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</si>
  <si>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</si>
  <si>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</si>
  <si>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</si>
  <si>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</si>
  <si>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</si>
  <si>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</si>
  <si>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</si>
  <si>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</si>
  <si>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</si>
  <si>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</si>
  <si>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</si>
  <si>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</si>
  <si>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</si>
  <si>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</si>
  <si>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</si>
  <si>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</si>
  <si>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</si>
  <si>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</si>
  <si>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</si>
  <si>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</si>
  <si>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</si>
  <si>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</si>
  <si>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</si>
  <si>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</si>
  <si>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</si>
  <si>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</si>
  <si>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</si>
  <si>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</si>
  <si>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</si>
  <si>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</si>
  <si>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</si>
  <si>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</si>
  <si>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</si>
  <si>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</si>
  <si>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</si>
  <si>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</si>
  <si>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</si>
  <si>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</si>
  <si>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</si>
  <si>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</si>
  <si>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</si>
  <si>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</si>
  <si>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</si>
  <si>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</si>
  <si>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</si>
  <si>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</si>
  <si>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</si>
  <si>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</si>
  <si>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</si>
  <si>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</si>
  <si>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</si>
  <si>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</si>
  <si>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</si>
  <si>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</si>
  <si>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</si>
  <si>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</si>
  <si>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</si>
  <si>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</si>
  <si>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</si>
  <si>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</si>
  <si>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</si>
  <si>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</si>
  <si>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</si>
  <si>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</si>
  <si>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</si>
  <si>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</si>
  <si>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</si>
  <si>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</si>
  <si>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</si>
  <si>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</si>
  <si>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</si>
  <si>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</si>
  <si>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</si>
  <si>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</si>
  <si>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</si>
  <si>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</si>
  <si>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</si>
  <si>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</si>
  <si>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</si>
  <si>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</si>
  <si>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</si>
  <si>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</si>
  <si>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</si>
  <si>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</si>
  <si>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</si>
  <si>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</si>
  <si>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</si>
  <si>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</si>
  <si>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</si>
  <si>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</si>
  <si>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</si>
  <si>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</si>
  <si>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</si>
  <si>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</si>
  <si>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</si>
  <si>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</si>
  <si>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</si>
  <si>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</si>
  <si>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</si>
  <si>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</si>
  <si>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</si>
  <si>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</si>
  <si>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</si>
  <si>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</si>
  <si>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</si>
  <si>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</si>
  <si>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</si>
  <si>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</si>
  <si>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</si>
  <si>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</si>
  <si>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</si>
  <si>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</si>
  <si>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</si>
  <si>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</si>
  <si>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</si>
  <si>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</si>
  <si>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</si>
  <si>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</si>
  <si>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</si>
  <si>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</si>
  <si>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</si>
  <si>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</si>
  <si>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</si>
  <si>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</si>
  <si>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</si>
  <si>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</si>
  <si>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</si>
  <si>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</si>
  <si>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</si>
  <si>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</si>
  <si>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</si>
  <si>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</si>
  <si>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</si>
  <si>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</si>
  <si>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</si>
  <si>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</si>
  <si>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</si>
  <si>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</si>
  <si>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</si>
  <si>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</si>
  <si>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</si>
  <si>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</si>
  <si>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</si>
  <si>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</si>
  <si>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</si>
  <si>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</si>
  <si>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</si>
  <si>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</si>
  <si>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</si>
  <si>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</si>
  <si>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</si>
  <si>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</si>
  <si>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</si>
  <si>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</si>
  <si>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</si>
  <si>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</si>
  <si>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</si>
  <si>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</si>
  <si>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</si>
  <si>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</si>
  <si>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</si>
  <si>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</si>
  <si>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</si>
  <si>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</si>
  <si>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</si>
  <si>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</si>
  <si>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</si>
  <si>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</si>
  <si>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</si>
  <si>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</si>
  <si>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</si>
  <si>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</si>
  <si>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</si>
  <si>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</si>
  <si>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</si>
  <si>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</si>
  <si>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</si>
  <si>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</si>
  <si>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</si>
  <si>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</si>
  <si>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</si>
  <si>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</si>
  <si>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</si>
  <si>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</si>
  <si>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</si>
  <si>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</si>
  <si>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</si>
  <si>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</si>
  <si>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</si>
  <si>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</si>
  <si>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</si>
  <si>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</si>
  <si>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</si>
  <si>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</si>
  <si>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</si>
  <si>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</si>
  <si>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</si>
  <si>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</si>
  <si>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</si>
  <si>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</si>
  <si>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</si>
  <si>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</si>
  <si>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</si>
  <si>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</si>
  <si>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</si>
  <si>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</si>
  <si>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</si>
  <si>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</si>
  <si>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</si>
  <si>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</si>
  <si>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</si>
  <si>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</si>
  <si>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</si>
  <si>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</si>
  <si>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</si>
  <si>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</si>
  <si>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</si>
  <si>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</si>
  <si>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</si>
  <si>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</si>
  <si>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</si>
  <si>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</si>
  <si>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</si>
  <si>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</si>
  <si>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</si>
  <si>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</si>
  <si>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</si>
  <si>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</si>
  <si>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</si>
  <si>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</si>
  <si>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</si>
  <si>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</si>
  <si>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</si>
  <si>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</si>
  <si>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</si>
  <si>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</si>
  <si>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</si>
  <si>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</si>
  <si>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</si>
  <si>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</si>
  <si>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</si>
  <si>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</si>
  <si>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</si>
  <si>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</si>
  <si>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</si>
  <si>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</si>
  <si>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</si>
  <si>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D.1.1.c.01. VÝPIS DVEŘÍ</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</si>
  <si>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</si>
  <si>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r>
      <t xml:space="preserve">" Vnitřní prosklená příčka v 2. NP, 3.NP mezi místnostmi 2.02 a 2.13/2.15, 3.02 a 3.13/3.15.
Orientační plocha bez dveří - </t>
    </r>
    <r>
      <rPr>
        <b/>
        <sz val="8"/>
        <color rgb="FFF703FD"/>
        <rFont val="Arial CE"/>
        <family val="2"/>
        <charset val="238"/>
      </rPr>
      <t>9,4 m2</t>
    </r>
    <r>
      <rPr>
        <sz val="8"/>
        <color rgb="FFF703FD"/>
        <rFont val="Arial CE"/>
        <family val="2"/>
        <charset val="238"/>
      </rPr>
      <t>. "</t>
    </r>
  </si>
  <si>
    <r>
      <t xml:space="preserve">" Vnitřní prosklená příčka v 2. NP, 3.NP mezi místnostmi 2.02 a 2.13/2.15, 3.02 a 3.13/3.15.
Orientační plocha bez dveří - </t>
    </r>
    <r>
      <rPr>
        <b/>
        <sz val="8"/>
        <color rgb="FFF703FD"/>
        <rFont val="Arial CE"/>
        <family val="2"/>
        <charset val="238"/>
      </rPr>
      <t>13,5 m2</t>
    </r>
    <r>
      <rPr>
        <sz val="8"/>
        <color rgb="FFF703FD"/>
        <rFont val="Arial CE"/>
        <family val="2"/>
        <charset val="238"/>
      </rPr>
      <t>. "</t>
    </r>
  </si>
  <si>
    <t xml:space="preserve">   D.1.1.c.01. VÝPIS DVEŘÍ</t>
  </si>
  <si>
    <r>
      <t xml:space="preserve">Cena celkem
</t>
    </r>
    <r>
      <rPr>
        <b/>
        <sz val="8"/>
        <color rgb="FFF703FD"/>
        <rFont val="Arial CYR"/>
        <charset val="238"/>
      </rPr>
      <t>Hlavní  náklady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</si>
</sst>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51">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YR"/>
      <charset val="238"/>
    </font>
    <font>
      <b/>
      <sz val="11"/>
      <color rgb="FFF703FD"/>
      <name val="Trebuchet MS"/>
      <family val="2"/>
      <charset val="238"/>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8"/>
      <color rgb="FFF703FD"/>
      <name val="MS Sans Serif"/>
      <charset val="238"/>
    </font>
    <font>
      <b/>
      <sz val="10"/>
      <color rgb="FFF703FD"/>
      <name val="Calibri"/>
      <family val="2"/>
      <charset val="238"/>
      <scheme val="minor"/>
    </font>
    <font>
      <b/>
      <sz val="9"/>
      <color rgb="FFF703FD"/>
      <name val="MS Sans Serif"/>
      <charset val="238"/>
    </font>
    <font>
      <b/>
      <sz val="11"/>
      <color rgb="FFF703FD"/>
      <name val="Arial CE"/>
      <family val="2"/>
      <charset val="238"/>
    </font>
    <font>
      <b/>
      <u/>
      <sz val="8"/>
      <color rgb="FFF703FD"/>
      <name val="Arial CE"/>
      <family val="2"/>
      <charset val="238"/>
    </font>
    <font>
      <u/>
      <sz val="11"/>
      <color rgb="FFF703FD"/>
      <name val="Calibri"/>
      <family val="2"/>
    </font>
    <font>
      <b/>
      <sz val="8"/>
      <color rgb="FFF703FD"/>
      <name val="Arial"/>
      <family val="2"/>
      <charset val="238"/>
    </font>
    <font>
      <b/>
      <sz val="14"/>
      <color rgb="FFF703FD"/>
      <name val="Arial CE"/>
      <family val="2"/>
      <charset val="238"/>
    </font>
    <font>
      <sz val="9"/>
      <color rgb="FFF703FD"/>
      <name val="Arial"/>
      <family val="2"/>
      <charset val="238"/>
    </font>
    <font>
      <sz val="10"/>
      <color rgb="FFF703FD"/>
      <name val="Arial CE"/>
      <family val="2"/>
      <charset val="238"/>
    </font>
    <font>
      <b/>
      <sz val="8"/>
      <color rgb="FFF703FD"/>
      <name val="Arial CYR"/>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s>
  <cellStyleXfs count="126">
    <xf numFmtId="0" fontId="0" fillId="0" borderId="0" applyAlignment="0">
      <alignment vertical="top" wrapText="1"/>
      <protection locked="0"/>
    </xf>
    <xf numFmtId="0" fontId="23" fillId="0" borderId="0" applyFill="0" applyBorder="0" applyProtection="0"/>
    <xf numFmtId="0" fontId="14" fillId="0" borderId="0"/>
    <xf numFmtId="0" fontId="12" fillId="0" borderId="0"/>
    <xf numFmtId="0" fontId="26" fillId="0" borderId="0"/>
    <xf numFmtId="0" fontId="14" fillId="0" borderId="0"/>
    <xf numFmtId="0" fontId="14" fillId="0" borderId="0"/>
    <xf numFmtId="0" fontId="14" fillId="0" borderId="0" applyAlignment="0">
      <alignment vertical="top" wrapText="1"/>
      <protection locked="0"/>
    </xf>
    <xf numFmtId="0" fontId="12" fillId="0" borderId="0"/>
    <xf numFmtId="0" fontId="14" fillId="0" borderId="0"/>
    <xf numFmtId="0" fontId="12" fillId="0" borderId="0"/>
    <xf numFmtId="0" fontId="10" fillId="0" borderId="0"/>
    <xf numFmtId="0" fontId="13" fillId="0" borderId="0" applyAlignment="0">
      <alignment vertical="top" wrapText="1"/>
      <protection locked="0"/>
    </xf>
    <xf numFmtId="0" fontId="13" fillId="0" borderId="0" applyAlignment="0">
      <alignment vertical="top" wrapText="1"/>
      <protection locked="0"/>
    </xf>
    <xf numFmtId="0" fontId="12" fillId="0" borderId="0"/>
    <xf numFmtId="0" fontId="12" fillId="0" borderId="0"/>
    <xf numFmtId="0" fontId="12" fillId="0" borderId="0"/>
    <xf numFmtId="0" fontId="24" fillId="0" borderId="0"/>
    <xf numFmtId="0" fontId="25" fillId="0" borderId="0" applyFont="0" applyFill="0" applyBorder="0" applyAlignment="0" applyProtection="0"/>
    <xf numFmtId="0" fontId="14" fillId="0" borderId="0"/>
    <xf numFmtId="0" fontId="12" fillId="0" borderId="0"/>
    <xf numFmtId="0" fontId="12" fillId="0" borderId="0"/>
    <xf numFmtId="0" fontId="14" fillId="0" borderId="0"/>
    <xf numFmtId="0" fontId="13" fillId="0" borderId="0" applyAlignment="0">
      <alignment vertical="top" wrapText="1"/>
      <protection locked="0"/>
    </xf>
    <xf numFmtId="0" fontId="40" fillId="0" borderId="0"/>
    <xf numFmtId="0" fontId="9" fillId="0" borderId="0"/>
    <xf numFmtId="0" fontId="14" fillId="0" borderId="0"/>
    <xf numFmtId="0" fontId="13" fillId="0" borderId="0" applyAlignment="0">
      <alignment vertical="top" wrapText="1"/>
      <protection locked="0"/>
    </xf>
    <xf numFmtId="0" fontId="13" fillId="0" borderId="0" applyAlignment="0">
      <alignment vertical="top" wrapText="1"/>
      <protection locked="0"/>
    </xf>
    <xf numFmtId="0" fontId="9" fillId="0" borderId="0"/>
    <xf numFmtId="0" fontId="12" fillId="0" borderId="0"/>
    <xf numFmtId="0" fontId="53" fillId="0" borderId="0"/>
    <xf numFmtId="0" fontId="53" fillId="0" borderId="0"/>
    <xf numFmtId="0" fontId="65" fillId="0" borderId="0" applyNumberFormat="0" applyFill="0" applyBorder="0" applyAlignment="0" applyProtection="0"/>
    <xf numFmtId="0" fontId="25" fillId="0" borderId="0"/>
    <xf numFmtId="0" fontId="69" fillId="0" borderId="0" applyAlignment="0">
      <alignment vertical="top" wrapText="1"/>
      <protection locked="0"/>
    </xf>
    <xf numFmtId="0" fontId="9" fillId="0" borderId="0"/>
    <xf numFmtId="0" fontId="40" fillId="0" borderId="0"/>
    <xf numFmtId="0" fontId="12" fillId="0" borderId="0"/>
    <xf numFmtId="0" fontId="13" fillId="0" borderId="0" applyAlignment="0">
      <alignment vertical="top" wrapText="1"/>
      <protection locked="0"/>
    </xf>
    <xf numFmtId="0" fontId="69" fillId="0" borderId="0" applyAlignment="0">
      <alignment vertical="top" wrapText="1"/>
      <protection locked="0"/>
    </xf>
    <xf numFmtId="0" fontId="92" fillId="0" borderId="0" applyNumberFormat="0" applyFill="0" applyBorder="0" applyAlignment="0" applyProtection="0"/>
    <xf numFmtId="0" fontId="12" fillId="0" borderId="0"/>
    <xf numFmtId="0" fontId="9" fillId="0" borderId="0"/>
    <xf numFmtId="0" fontId="13" fillId="0" borderId="0" applyAlignment="0">
      <alignment vertical="top" wrapText="1"/>
      <protection locked="0"/>
    </xf>
    <xf numFmtId="0" fontId="33" fillId="0" borderId="0" applyAlignment="0">
      <alignment vertical="top" wrapText="1"/>
      <protection locked="0"/>
    </xf>
    <xf numFmtId="0" fontId="33" fillId="0" borderId="0" applyAlignment="0">
      <alignment vertical="top" wrapText="1"/>
      <protection locked="0"/>
    </xf>
    <xf numFmtId="0" fontId="13" fillId="0" borderId="0" applyAlignment="0">
      <alignment vertical="top" wrapText="1"/>
      <protection locked="0"/>
    </xf>
    <xf numFmtId="0" fontId="69" fillId="0" borderId="0" applyAlignment="0">
      <alignment vertical="top" wrapText="1"/>
      <protection locked="0"/>
    </xf>
    <xf numFmtId="0" fontId="40" fillId="0" borderId="0"/>
    <xf numFmtId="0" fontId="9" fillId="0" borderId="0"/>
    <xf numFmtId="0" fontId="125" fillId="0" borderId="0" applyNumberFormat="0" applyFill="0" applyBorder="0" applyAlignment="0" applyProtection="0">
      <alignment vertical="top"/>
      <protection locked="0"/>
    </xf>
    <xf numFmtId="0" fontId="9" fillId="0" borderId="0"/>
    <xf numFmtId="0" fontId="12" fillId="0" borderId="0"/>
    <xf numFmtId="0" fontId="9" fillId="0" borderId="0"/>
    <xf numFmtId="0" fontId="40" fillId="0" borderId="0"/>
    <xf numFmtId="0" fontId="14" fillId="0" borderId="0"/>
    <xf numFmtId="0" fontId="12" fillId="0" borderId="0"/>
    <xf numFmtId="0" fontId="125" fillId="0" borderId="0" applyNumberFormat="0" applyFill="0" applyBorder="0" applyAlignment="0" applyProtection="0">
      <alignment vertical="top"/>
      <protection locked="0"/>
    </xf>
    <xf numFmtId="0" fontId="14" fillId="0" borderId="0"/>
    <xf numFmtId="0" fontId="69" fillId="0" borderId="0" applyAlignment="0">
      <alignment vertical="top" wrapText="1"/>
      <protection locked="0"/>
    </xf>
    <xf numFmtId="0" fontId="65" fillId="0" borderId="0" applyNumberFormat="0" applyFill="0" applyBorder="0" applyAlignment="0" applyProtection="0"/>
    <xf numFmtId="0" fontId="14" fillId="0" borderId="0"/>
    <xf numFmtId="0" fontId="40" fillId="0" borderId="0"/>
    <xf numFmtId="0" fontId="12" fillId="0" borderId="0"/>
    <xf numFmtId="0" fontId="9" fillId="0" borderId="0"/>
    <xf numFmtId="0" fontId="9" fillId="0" borderId="0"/>
    <xf numFmtId="0" fontId="178" fillId="0" borderId="0" applyNumberFormat="0" applyFill="0" applyBorder="0" applyAlignment="0" applyProtection="0">
      <alignment vertical="top"/>
      <protection locked="0"/>
    </xf>
    <xf numFmtId="0" fontId="69" fillId="0" borderId="0" applyAlignment="0">
      <alignment vertical="top" wrapText="1"/>
      <protection locked="0"/>
    </xf>
    <xf numFmtId="0" fontId="12" fillId="0" borderId="0"/>
    <xf numFmtId="0" fontId="197" fillId="0" borderId="0"/>
    <xf numFmtId="0" fontId="9" fillId="0" borderId="0"/>
    <xf numFmtId="0" fontId="93" fillId="0" borderId="0" applyNumberFormat="0" applyFill="0" applyBorder="0" applyAlignment="0" applyProtection="0">
      <alignment vertical="top" wrapText="1"/>
      <protection locked="0"/>
    </xf>
    <xf numFmtId="0" fontId="13" fillId="0" borderId="0" applyAlignment="0">
      <alignment vertical="top" wrapText="1"/>
      <protection locked="0"/>
    </xf>
    <xf numFmtId="0" fontId="13" fillId="0" borderId="0" applyAlignment="0">
      <alignment vertical="top" wrapText="1"/>
      <protection locked="0"/>
    </xf>
    <xf numFmtId="0" fontId="9" fillId="0" borderId="0"/>
    <xf numFmtId="0" fontId="93" fillId="0" borderId="0" applyNumberFormat="0" applyFill="0" applyBorder="0" applyAlignment="0" applyProtection="0">
      <alignment vertical="top" wrapText="1"/>
      <protection locked="0"/>
    </xf>
    <xf numFmtId="0" fontId="9" fillId="0" borderId="0"/>
    <xf numFmtId="0" fontId="14" fillId="0" borderId="0"/>
    <xf numFmtId="0" fontId="9" fillId="0" borderId="0"/>
    <xf numFmtId="0" fontId="33" fillId="0" borderId="0" applyAlignment="0">
      <alignment vertical="top" wrapText="1"/>
      <protection locked="0"/>
    </xf>
    <xf numFmtId="0" fontId="254" fillId="0" borderId="0" applyNumberFormat="0" applyFill="0" applyBorder="0" applyAlignment="0" applyProtection="0">
      <alignment vertical="top" wrapText="1"/>
      <protection locked="0"/>
    </xf>
    <xf numFmtId="0" fontId="33" fillId="0" borderId="0" applyAlignment="0">
      <alignment vertical="top" wrapText="1"/>
      <protection locked="0"/>
    </xf>
    <xf numFmtId="0" fontId="40" fillId="0" borderId="0"/>
    <xf numFmtId="0" fontId="125" fillId="0" borderId="0" applyNumberFormat="0" applyFill="0" applyBorder="0" applyAlignment="0" applyProtection="0">
      <alignment vertical="top"/>
      <protection locked="0"/>
    </xf>
    <xf numFmtId="0" fontId="9" fillId="0" borderId="0"/>
    <xf numFmtId="0" fontId="65" fillId="0" borderId="0" applyNumberFormat="0" applyFill="0" applyBorder="0" applyAlignment="0" applyProtection="0"/>
    <xf numFmtId="0" fontId="9" fillId="0" borderId="0"/>
    <xf numFmtId="0" fontId="278" fillId="0" borderId="0" applyNumberFormat="0" applyFill="0" applyBorder="0" applyAlignment="0" applyProtection="0">
      <alignment vertical="top"/>
      <protection locked="0"/>
    </xf>
    <xf numFmtId="0" fontId="9" fillId="0" borderId="0"/>
    <xf numFmtId="0" fontId="9" fillId="0" borderId="0"/>
    <xf numFmtId="0" fontId="278" fillId="0" borderId="0" applyNumberFormat="0" applyFill="0" applyBorder="0" applyAlignment="0" applyProtection="0">
      <alignment vertical="top"/>
      <protection locked="0"/>
    </xf>
    <xf numFmtId="0" fontId="13" fillId="0" borderId="0" applyAlignment="0">
      <alignment vertical="top" wrapText="1"/>
      <protection locked="0"/>
    </xf>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6007">
    <xf numFmtId="0" fontId="0" fillId="0" borderId="0" xfId="0" applyAlignment="1">
      <alignment vertical="top"/>
      <protection locked="0"/>
    </xf>
    <xf numFmtId="0" fontId="14" fillId="0" borderId="0" xfId="8" applyFont="1"/>
    <xf numFmtId="0" fontId="15" fillId="0" borderId="0" xfId="8" applyFont="1" applyAlignment="1">
      <alignment horizontal="center"/>
    </xf>
    <xf numFmtId="0" fontId="16" fillId="0" borderId="0" xfId="8" applyFont="1" applyAlignment="1">
      <alignment horizontal="left"/>
    </xf>
    <xf numFmtId="0" fontId="19" fillId="0" borderId="0" xfId="8" applyFont="1"/>
    <xf numFmtId="0" fontId="17" fillId="0" borderId="0" xfId="8" applyFont="1" applyAlignment="1">
      <alignment horizontal="left" vertical="top" wrapText="1"/>
    </xf>
    <xf numFmtId="0" fontId="12" fillId="0" borderId="0" xfId="8" applyAlignment="1">
      <alignment vertical="top" wrapText="1"/>
    </xf>
    <xf numFmtId="0" fontId="19" fillId="0" borderId="0" xfId="8" applyFont="1" applyAlignment="1">
      <alignment horizontal="left" vertical="center"/>
    </xf>
    <xf numFmtId="0" fontId="14" fillId="0" borderId="0" xfId="8" applyFont="1" applyAlignment="1">
      <alignment horizontal="left"/>
    </xf>
    <xf numFmtId="0" fontId="14" fillId="0" borderId="0" xfId="8" applyFont="1" applyAlignment="1">
      <alignment horizontal="right"/>
    </xf>
    <xf numFmtId="0" fontId="21" fillId="2" borderId="1" xfId="8" applyFont="1" applyFill="1" applyBorder="1" applyAlignment="1">
      <alignment wrapText="1"/>
    </xf>
    <xf numFmtId="0" fontId="21" fillId="2" borderId="2" xfId="8" applyFont="1" applyFill="1" applyBorder="1" applyAlignment="1">
      <alignment wrapText="1"/>
    </xf>
    <xf numFmtId="0" fontId="21" fillId="2" borderId="3" xfId="8" applyFont="1" applyFill="1" applyBorder="1" applyAlignment="1">
      <alignment wrapText="1"/>
    </xf>
    <xf numFmtId="0" fontId="21" fillId="2" borderId="1" xfId="8" applyFont="1" applyFill="1" applyBorder="1" applyAlignment="1">
      <alignment horizontal="right" wrapText="1"/>
    </xf>
    <xf numFmtId="0" fontId="14" fillId="2" borderId="2" xfId="8" applyFont="1" applyFill="1" applyBorder="1"/>
    <xf numFmtId="0" fontId="21" fillId="2" borderId="2" xfId="8" applyFont="1" applyFill="1" applyBorder="1" applyAlignment="1">
      <alignment horizontal="right" wrapText="1"/>
    </xf>
    <xf numFmtId="0" fontId="19" fillId="2" borderId="3" xfId="8" applyFont="1" applyFill="1" applyBorder="1" applyAlignment="1">
      <alignment horizontal="right"/>
    </xf>
    <xf numFmtId="0" fontId="14" fillId="0" borderId="4" xfId="8" applyFont="1" applyBorder="1" applyAlignment="1">
      <alignment vertical="center"/>
    </xf>
    <xf numFmtId="0" fontId="14" fillId="0" borderId="0" xfId="8" applyFont="1" applyAlignment="1">
      <alignment vertical="center"/>
    </xf>
    <xf numFmtId="1" fontId="14" fillId="0" borderId="0" xfId="8" applyNumberFormat="1" applyFont="1" applyAlignment="1">
      <alignment horizontal="right" vertical="center"/>
    </xf>
    <xf numFmtId="0" fontId="14" fillId="0" borderId="5" xfId="8" applyFont="1" applyBorder="1" applyAlignment="1">
      <alignment vertical="center"/>
    </xf>
    <xf numFmtId="4" fontId="14" fillId="0" borderId="4" xfId="8" applyNumberFormat="1" applyFont="1" applyBorder="1" applyAlignment="1">
      <alignment horizontal="right" vertical="center"/>
    </xf>
    <xf numFmtId="4" fontId="14" fillId="0" borderId="0" xfId="8" applyNumberFormat="1" applyFont="1" applyAlignment="1">
      <alignment horizontal="right" vertical="center"/>
    </xf>
    <xf numFmtId="4" fontId="14" fillId="0" borderId="5" xfId="8" applyNumberFormat="1" applyFont="1" applyBorder="1" applyAlignment="1">
      <alignment horizontal="right" vertical="center"/>
    </xf>
    <xf numFmtId="0" fontId="17" fillId="3" borderId="1" xfId="8" applyFont="1" applyFill="1" applyBorder="1" applyAlignment="1">
      <alignment vertical="center"/>
    </xf>
    <xf numFmtId="0" fontId="19" fillId="3" borderId="2" xfId="8" applyFont="1" applyFill="1" applyBorder="1" applyAlignment="1">
      <alignment vertical="center"/>
    </xf>
    <xf numFmtId="0" fontId="14" fillId="3" borderId="2" xfId="8" applyFont="1" applyFill="1" applyBorder="1" applyAlignment="1">
      <alignment vertical="center"/>
    </xf>
    <xf numFmtId="4" fontId="17" fillId="3" borderId="9" xfId="8" applyNumberFormat="1" applyFont="1" applyFill="1" applyBorder="1" applyAlignment="1">
      <alignment horizontal="right" vertical="center"/>
    </xf>
    <xf numFmtId="4" fontId="17" fillId="3" borderId="10" xfId="8" applyNumberFormat="1" applyFont="1" applyFill="1" applyBorder="1" applyAlignment="1">
      <alignment horizontal="right" vertical="center"/>
    </xf>
    <xf numFmtId="3" fontId="17" fillId="4" borderId="11" xfId="8" applyNumberFormat="1" applyFont="1" applyFill="1" applyBorder="1" applyAlignment="1">
      <alignment horizontal="right" vertical="center"/>
    </xf>
    <xf numFmtId="0" fontId="17" fillId="0" borderId="0" xfId="8" applyFont="1" applyAlignment="1">
      <alignment horizontal="left"/>
    </xf>
    <xf numFmtId="0" fontId="21" fillId="2" borderId="1" xfId="8" applyFont="1" applyFill="1" applyBorder="1" applyAlignment="1">
      <alignment vertical="center"/>
    </xf>
    <xf numFmtId="0" fontId="19" fillId="2" borderId="2" xfId="8" applyFont="1" applyFill="1" applyBorder="1" applyAlignment="1">
      <alignment vertical="center"/>
    </xf>
    <xf numFmtId="0" fontId="19" fillId="2" borderId="3" xfId="8" applyFont="1" applyFill="1" applyBorder="1" applyAlignment="1">
      <alignment vertical="center" wrapText="1"/>
    </xf>
    <xf numFmtId="49" fontId="20" fillId="0" borderId="4" xfId="8" applyNumberFormat="1" applyFont="1" applyBorder="1" applyAlignment="1">
      <alignment horizontal="left"/>
    </xf>
    <xf numFmtId="0" fontId="20" fillId="0" borderId="0" xfId="8" applyFont="1" applyAlignment="1">
      <alignment horizontal="left"/>
    </xf>
    <xf numFmtId="0" fontId="20" fillId="0" borderId="0" xfId="8" applyFont="1"/>
    <xf numFmtId="164" fontId="20" fillId="0" borderId="0" xfId="8" applyNumberFormat="1" applyFont="1"/>
    <xf numFmtId="49" fontId="20" fillId="0" borderId="14" xfId="8" applyNumberFormat="1" applyFont="1" applyBorder="1" applyAlignment="1">
      <alignment horizontal="left"/>
    </xf>
    <xf numFmtId="0" fontId="21" fillId="3" borderId="1" xfId="8" applyFont="1" applyFill="1" applyBorder="1" applyAlignment="1">
      <alignment vertical="center"/>
    </xf>
    <xf numFmtId="49" fontId="21" fillId="3" borderId="2" xfId="8" applyNumberFormat="1" applyFont="1" applyFill="1" applyBorder="1" applyAlignment="1">
      <alignment horizontal="left" vertical="center"/>
    </xf>
    <xf numFmtId="0" fontId="21" fillId="3" borderId="2" xfId="8" applyFont="1" applyFill="1" applyBorder="1" applyAlignment="1">
      <alignment vertical="center"/>
    </xf>
    <xf numFmtId="164" fontId="20" fillId="3" borderId="3" xfId="8" applyNumberFormat="1" applyFont="1" applyFill="1" applyBorder="1"/>
    <xf numFmtId="3" fontId="21" fillId="3" borderId="12" xfId="8" applyNumberFormat="1" applyFont="1" applyFill="1" applyBorder="1" applyAlignment="1">
      <alignment horizontal="right" vertical="center"/>
    </xf>
    <xf numFmtId="0" fontId="11" fillId="0" borderId="0" xfId="16" applyFont="1"/>
    <xf numFmtId="0" fontId="11" fillId="0" borderId="0" xfId="8" applyFont="1"/>
    <xf numFmtId="49" fontId="21" fillId="0" borderId="14" xfId="8" applyNumberFormat="1" applyFont="1" applyBorder="1" applyAlignment="1">
      <alignment horizontal="left"/>
    </xf>
    <xf numFmtId="0" fontId="14" fillId="0" borderId="0" xfId="8" applyFont="1" applyAlignment="1">
      <alignment horizontal="center"/>
    </xf>
    <xf numFmtId="0" fontId="11" fillId="0" borderId="0" xfId="21" applyFont="1" applyAlignment="1">
      <alignment vertical="center"/>
    </xf>
    <xf numFmtId="49" fontId="11" fillId="0" borderId="0" xfId="21" applyNumberFormat="1" applyFont="1" applyAlignment="1">
      <alignment vertical="center"/>
    </xf>
    <xf numFmtId="0" fontId="17" fillId="0" borderId="0" xfId="8" applyFont="1" applyAlignment="1">
      <alignment horizontal="left" vertical="center"/>
    </xf>
    <xf numFmtId="0" fontId="19"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1" fillId="0" borderId="0" xfId="21" applyFont="1" applyAlignment="1">
      <alignment vertical="center" wrapText="1"/>
    </xf>
    <xf numFmtId="0" fontId="14" fillId="0" borderId="0" xfId="22"/>
    <xf numFmtId="0" fontId="16" fillId="0" borderId="0" xfId="22" applyFont="1" applyAlignment="1">
      <alignment wrapText="1"/>
    </xf>
    <xf numFmtId="0" fontId="16" fillId="0" borderId="0" xfId="22" applyFont="1"/>
    <xf numFmtId="0" fontId="17" fillId="0" borderId="12" xfId="22" applyFont="1" applyBorder="1" applyAlignment="1">
      <alignment horizontal="left" vertical="center" wrapText="1"/>
    </xf>
    <xf numFmtId="0" fontId="16" fillId="0" borderId="3" xfId="22" applyFont="1" applyBorder="1" applyAlignment="1">
      <alignment horizontal="left" vertical="center" wrapText="1"/>
    </xf>
    <xf numFmtId="0" fontId="16" fillId="2" borderId="12" xfId="22" applyFont="1" applyFill="1" applyBorder="1" applyAlignment="1">
      <alignment horizontal="center"/>
    </xf>
    <xf numFmtId="0" fontId="16" fillId="0" borderId="12" xfId="22" applyFont="1" applyBorder="1" applyAlignment="1">
      <alignment vertical="center" wrapText="1"/>
    </xf>
    <xf numFmtId="0" fontId="16" fillId="0" borderId="12" xfId="22" applyFont="1" applyBorder="1" applyAlignment="1">
      <alignment horizontal="left" vertical="center" wrapText="1"/>
    </xf>
    <xf numFmtId="0" fontId="16" fillId="0" borderId="12" xfId="22" quotePrefix="1" applyFont="1" applyBorder="1" applyAlignment="1">
      <alignment horizontal="center" vertical="center" wrapText="1"/>
    </xf>
    <xf numFmtId="0" fontId="14" fillId="0" borderId="0" xfId="22" applyAlignment="1">
      <alignment horizontal="left" vertical="center"/>
    </xf>
    <xf numFmtId="0" fontId="19" fillId="0" borderId="0" xfId="22" applyFont="1" applyAlignment="1">
      <alignment vertical="top"/>
    </xf>
    <xf numFmtId="0" fontId="19" fillId="0" borderId="0" xfId="22" applyFont="1" applyAlignment="1">
      <alignment vertical="top" wrapText="1"/>
    </xf>
    <xf numFmtId="0" fontId="17" fillId="0" borderId="12" xfId="22" applyFont="1" applyBorder="1" applyAlignment="1">
      <alignment horizontal="right" vertical="top" wrapText="1"/>
    </xf>
    <xf numFmtId="0" fontId="17" fillId="0" borderId="0" xfId="3" applyFont="1" applyAlignment="1">
      <alignment horizontal="left" vertical="center"/>
    </xf>
    <xf numFmtId="0" fontId="16" fillId="0" borderId="0" xfId="3" applyFont="1" applyAlignment="1">
      <alignment vertical="center"/>
    </xf>
    <xf numFmtId="0" fontId="14" fillId="0" borderId="0" xfId="3" applyFont="1" applyAlignment="1">
      <alignment vertical="center"/>
    </xf>
    <xf numFmtId="4" fontId="14" fillId="0" borderId="0" xfId="3" applyNumberFormat="1" applyFont="1" applyAlignment="1">
      <alignment vertical="center"/>
    </xf>
    <xf numFmtId="4" fontId="14" fillId="0" borderId="0" xfId="22" applyNumberFormat="1"/>
    <xf numFmtId="0" fontId="37" fillId="0" borderId="0" xfId="23" applyFont="1" applyAlignment="1" applyProtection="1">
      <alignment horizontal="left"/>
    </xf>
    <xf numFmtId="0" fontId="38" fillId="0" borderId="0" xfId="23" applyFont="1" applyAlignment="1" applyProtection="1">
      <alignment horizontal="left"/>
    </xf>
    <xf numFmtId="0" fontId="13" fillId="0" borderId="0" xfId="23" applyAlignment="1">
      <alignment vertical="top"/>
      <protection locked="0"/>
    </xf>
    <xf numFmtId="0" fontId="39" fillId="0" borderId="0" xfId="23" applyFont="1" applyAlignment="1" applyProtection="1">
      <alignment horizontal="left" wrapText="1"/>
    </xf>
    <xf numFmtId="0" fontId="41" fillId="0" borderId="0" xfId="24" applyFont="1" applyAlignment="1" applyProtection="1">
      <alignment vertical="center"/>
      <protection locked="0"/>
    </xf>
    <xf numFmtId="0" fontId="10" fillId="0" borderId="0" xfId="24" applyFont="1" applyAlignment="1">
      <alignment horizontal="left"/>
    </xf>
    <xf numFmtId="0" fontId="38" fillId="0" borderId="0" xfId="24" applyFont="1" applyAlignment="1">
      <alignment horizontal="left"/>
    </xf>
    <xf numFmtId="0" fontId="40" fillId="0" borderId="0" xfId="24" applyAlignment="1">
      <alignment horizontal="left" vertical="top"/>
    </xf>
    <xf numFmtId="0" fontId="40" fillId="0" borderId="0" xfId="24"/>
    <xf numFmtId="0" fontId="40" fillId="0" borderId="0" xfId="24" applyAlignment="1" applyProtection="1">
      <alignment wrapText="1"/>
      <protection locked="0"/>
    </xf>
    <xf numFmtId="0" fontId="39" fillId="0" borderId="0" xfId="23" applyFont="1" applyAlignment="1" applyProtection="1">
      <alignment horizontal="left"/>
    </xf>
    <xf numFmtId="0" fontId="9" fillId="0" borderId="0" xfId="25" applyAlignment="1" applyProtection="1">
      <alignment wrapText="1"/>
      <protection locked="0"/>
    </xf>
    <xf numFmtId="0" fontId="10" fillId="0" borderId="0" xfId="25" applyFont="1" applyAlignment="1">
      <alignment horizontal="left"/>
    </xf>
    <xf numFmtId="0" fontId="38" fillId="0" borderId="0" xfId="25" applyFont="1" applyAlignment="1">
      <alignment horizontal="left"/>
    </xf>
    <xf numFmtId="0" fontId="9" fillId="0" borderId="0" xfId="25" applyAlignment="1">
      <alignment horizontal="left" vertical="top"/>
    </xf>
    <xf numFmtId="0" fontId="9" fillId="0" borderId="0" xfId="25"/>
    <xf numFmtId="0" fontId="10" fillId="0" borderId="0" xfId="23" applyFont="1" applyAlignment="1" applyProtection="1">
      <alignment horizontal="left"/>
    </xf>
    <xf numFmtId="0" fontId="13" fillId="0" borderId="0" xfId="23" applyAlignment="1">
      <alignment horizontal="left" vertical="top"/>
      <protection locked="0"/>
    </xf>
    <xf numFmtId="0" fontId="13" fillId="0" borderId="0" xfId="23" applyAlignment="1" applyProtection="1"/>
    <xf numFmtId="0" fontId="10" fillId="0" borderId="21" xfId="23" applyFont="1" applyBorder="1" applyAlignment="1" applyProtection="1">
      <alignment horizontal="center" vertical="center" wrapText="1"/>
    </xf>
    <xf numFmtId="0" fontId="10" fillId="0" borderId="22" xfId="23" applyFont="1" applyBorder="1" applyAlignment="1" applyProtection="1">
      <alignment horizontal="center" vertical="center" wrapText="1"/>
    </xf>
    <xf numFmtId="0" fontId="10" fillId="0" borderId="23" xfId="23" applyFont="1" applyBorder="1" applyAlignment="1" applyProtection="1">
      <alignment horizontal="center" vertical="center" wrapText="1"/>
    </xf>
    <xf numFmtId="166" fontId="10" fillId="0" borderId="25" xfId="23" applyNumberFormat="1" applyFont="1" applyBorder="1" applyAlignment="1" applyProtection="1">
      <alignment horizontal="center" vertical="center"/>
    </xf>
    <xf numFmtId="166" fontId="10" fillId="0" borderId="26" xfId="23" applyNumberFormat="1" applyFont="1" applyBorder="1" applyAlignment="1" applyProtection="1">
      <alignment horizontal="center" vertical="center"/>
    </xf>
    <xf numFmtId="0" fontId="13" fillId="0" borderId="28" xfId="23" applyBorder="1" applyAlignment="1" applyProtection="1">
      <alignment horizontal="left"/>
    </xf>
    <xf numFmtId="0" fontId="13" fillId="0" borderId="29" xfId="23" applyBorder="1" applyAlignment="1" applyProtection="1">
      <alignment horizontal="left"/>
    </xf>
    <xf numFmtId="0" fontId="42" fillId="0" borderId="30" xfId="23" applyFont="1" applyBorder="1" applyAlignment="1" applyProtection="1">
      <alignment horizontal="center"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13" fillId="0" borderId="0" xfId="23" applyAlignment="1" applyProtection="1">
      <alignment vertical="top"/>
    </xf>
    <xf numFmtId="0" fontId="39" fillId="0" borderId="0" xfId="27" applyFont="1" applyAlignment="1" applyProtection="1">
      <alignment horizontal="left" wrapText="1"/>
    </xf>
    <xf numFmtId="0" fontId="39" fillId="0" borderId="0" xfId="28" applyFont="1" applyAlignment="1" applyProtection="1">
      <alignment horizontal="left" wrapText="1"/>
    </xf>
    <xf numFmtId="0" fontId="9" fillId="0" borderId="0" xfId="29" applyAlignment="1">
      <alignment horizontal="left" vertical="top"/>
    </xf>
    <xf numFmtId="0" fontId="9" fillId="0" borderId="0" xfId="29"/>
    <xf numFmtId="0" fontId="45" fillId="0" borderId="0" xfId="25" applyFont="1" applyAlignment="1">
      <alignment horizontal="left"/>
    </xf>
    <xf numFmtId="0" fontId="38" fillId="0" borderId="0" xfId="25" applyFont="1" applyAlignment="1">
      <alignment horizontal="center"/>
    </xf>
    <xf numFmtId="0" fontId="46" fillId="0" borderId="0" xfId="25" applyFont="1" applyAlignment="1">
      <alignment horizontal="right" vertical="top"/>
    </xf>
    <xf numFmtId="0" fontId="47" fillId="0" borderId="31" xfId="25" applyFont="1" applyBorder="1" applyAlignment="1">
      <alignment horizontal="center" vertical="center" wrapText="1"/>
    </xf>
    <xf numFmtId="0" fontId="47" fillId="0" borderId="12" xfId="25" applyFont="1" applyBorder="1" applyAlignment="1">
      <alignment horizontal="center" vertical="center" wrapText="1"/>
    </xf>
    <xf numFmtId="0" fontId="48" fillId="0" borderId="0" xfId="25" applyFont="1" applyAlignment="1">
      <alignment horizontal="left" vertical="center"/>
    </xf>
    <xf numFmtId="0" fontId="49" fillId="0" borderId="0" xfId="25" applyFont="1"/>
    <xf numFmtId="37" fontId="10" fillId="0" borderId="30" xfId="3" applyNumberFormat="1" applyFont="1" applyBorder="1" applyAlignment="1" applyProtection="1">
      <alignment horizontal="right"/>
      <protection locked="0"/>
    </xf>
    <xf numFmtId="0" fontId="39" fillId="0" borderId="30" xfId="3" applyFont="1" applyBorder="1" applyAlignment="1" applyProtection="1">
      <alignment horizontal="left" wrapText="1"/>
      <protection locked="0"/>
    </xf>
    <xf numFmtId="2" fontId="39" fillId="0" borderId="30" xfId="3" applyNumberFormat="1" applyFont="1" applyBorder="1" applyAlignment="1" applyProtection="1">
      <alignment horizontal="right"/>
      <protection locked="0"/>
    </xf>
    <xf numFmtId="39" fontId="39" fillId="0" borderId="30" xfId="3" applyNumberFormat="1" applyFont="1" applyBorder="1" applyAlignment="1" applyProtection="1">
      <alignment horizontal="right"/>
      <protection locked="0"/>
    </xf>
    <xf numFmtId="39" fontId="50" fillId="0" borderId="30" xfId="3" applyNumberFormat="1" applyFont="1" applyBorder="1" applyAlignment="1" applyProtection="1">
      <alignment horizontal="center"/>
      <protection locked="0"/>
    </xf>
    <xf numFmtId="0" fontId="12" fillId="0" borderId="0" xfId="3"/>
    <xf numFmtId="0" fontId="10" fillId="0" borderId="30" xfId="3" applyFont="1" applyBorder="1" applyAlignment="1" applyProtection="1">
      <alignment horizontal="left" wrapText="1"/>
      <protection locked="0"/>
    </xf>
    <xf numFmtId="39" fontId="10" fillId="0" borderId="30" xfId="3" applyNumberFormat="1" applyFont="1" applyBorder="1" applyAlignment="1" applyProtection="1">
      <alignment horizontal="center"/>
      <protection locked="0"/>
    </xf>
    <xf numFmtId="49" fontId="10" fillId="0" borderId="30" xfId="3" applyNumberFormat="1" applyFont="1" applyBorder="1" applyAlignment="1" applyProtection="1">
      <alignment horizontal="right"/>
      <protection locked="0"/>
    </xf>
    <xf numFmtId="49" fontId="51" fillId="0" borderId="30" xfId="25" applyNumberFormat="1" applyFont="1" applyBorder="1" applyAlignment="1">
      <alignment horizontal="left"/>
    </xf>
    <xf numFmtId="0" fontId="51" fillId="0" borderId="30" xfId="23" applyFont="1" applyBorder="1" applyAlignment="1" applyProtection="1">
      <alignment horizontal="left"/>
    </xf>
    <xf numFmtId="0" fontId="11" fillId="0" borderId="30" xfId="23" applyFont="1" applyBorder="1" applyAlignment="1" applyProtection="1">
      <alignment wrapText="1"/>
    </xf>
    <xf numFmtId="0" fontId="52" fillId="0" borderId="30" xfId="23" applyFont="1" applyBorder="1" applyAlignment="1">
      <alignment horizontal="left" wrapText="1"/>
      <protection locked="0"/>
    </xf>
    <xf numFmtId="167" fontId="10" fillId="0" borderId="30" xfId="30" applyNumberFormat="1" applyFont="1" applyBorder="1" applyAlignment="1" applyProtection="1">
      <alignment horizontal="right"/>
      <protection locked="0"/>
    </xf>
    <xf numFmtId="39" fontId="10" fillId="0" borderId="30" xfId="23" applyNumberFormat="1" applyFont="1" applyBorder="1" applyAlignment="1">
      <alignment horizontal="right"/>
      <protection locked="0"/>
    </xf>
    <xf numFmtId="4" fontId="10" fillId="0" borderId="30" xfId="31" applyNumberFormat="1" applyFont="1" applyBorder="1" applyAlignment="1" applyProtection="1">
      <alignment horizontal="right"/>
      <protection locked="0"/>
    </xf>
    <xf numFmtId="0" fontId="54" fillId="0" borderId="0" xfId="23" applyFont="1" applyAlignment="1">
      <alignment horizontal="left" vertical="center"/>
      <protection locked="0"/>
    </xf>
    <xf numFmtId="0" fontId="13" fillId="0" borderId="0" xfId="23" applyAlignment="1">
      <alignment horizontal="left" vertical="center"/>
      <protection locked="0"/>
    </xf>
    <xf numFmtId="0" fontId="55" fillId="0" borderId="0" xfId="23" applyFont="1" applyAlignment="1">
      <alignment horizontal="left" vertical="center"/>
      <protection locked="0"/>
    </xf>
    <xf numFmtId="0" fontId="55" fillId="0" borderId="0" xfId="23" applyFont="1" applyAlignment="1">
      <alignment horizontal="left" vertical="top"/>
      <protection locked="0"/>
    </xf>
    <xf numFmtId="0" fontId="30" fillId="0" borderId="30" xfId="25" applyFont="1" applyBorder="1" applyAlignment="1" applyProtection="1">
      <alignment horizontal="left" wrapText="1"/>
      <protection locked="0"/>
    </xf>
    <xf numFmtId="167" fontId="30" fillId="0" borderId="30" xfId="25" applyNumberFormat="1" applyFont="1" applyBorder="1" applyAlignment="1" applyProtection="1">
      <alignment horizontal="right"/>
      <protection locked="0"/>
    </xf>
    <xf numFmtId="39" fontId="10" fillId="0" borderId="30" xfId="3" applyNumberFormat="1" applyFont="1" applyBorder="1" applyAlignment="1" applyProtection="1">
      <alignment horizontal="right"/>
      <protection locked="0"/>
    </xf>
    <xf numFmtId="0" fontId="9" fillId="0" borderId="0" xfId="25" applyAlignment="1">
      <alignment vertical="center"/>
    </xf>
    <xf numFmtId="49" fontId="56" fillId="0" borderId="30" xfId="3" applyNumberFormat="1" applyFont="1" applyBorder="1" applyAlignment="1" applyProtection="1">
      <alignment horizontal="right"/>
      <protection locked="0"/>
    </xf>
    <xf numFmtId="0" fontId="56" fillId="0" borderId="30" xfId="3" applyFont="1" applyBorder="1" applyAlignment="1" applyProtection="1">
      <alignment horizontal="left" wrapText="1"/>
      <protection locked="0"/>
    </xf>
    <xf numFmtId="167" fontId="56" fillId="0" borderId="30" xfId="30" applyNumberFormat="1" applyFont="1" applyBorder="1" applyAlignment="1" applyProtection="1">
      <alignment horizontal="right"/>
      <protection locked="0"/>
    </xf>
    <xf numFmtId="39" fontId="56" fillId="0" borderId="30" xfId="3" applyNumberFormat="1" applyFont="1" applyBorder="1" applyAlignment="1" applyProtection="1">
      <alignment horizontal="right"/>
      <protection locked="0"/>
    </xf>
    <xf numFmtId="39" fontId="56" fillId="0" borderId="30" xfId="3" applyNumberFormat="1" applyFont="1" applyBorder="1" applyAlignment="1" applyProtection="1">
      <alignment horizontal="center"/>
      <protection locked="0"/>
    </xf>
    <xf numFmtId="0" fontId="57" fillId="0" borderId="0" xfId="25" applyFont="1" applyAlignment="1">
      <alignment vertical="center"/>
    </xf>
    <xf numFmtId="0" fontId="58" fillId="0" borderId="0" xfId="3" applyFont="1"/>
    <xf numFmtId="0" fontId="59" fillId="0" borderId="30" xfId="25" applyFont="1" applyBorder="1" applyAlignment="1" applyProtection="1">
      <alignment horizontal="left" wrapText="1"/>
      <protection locked="0"/>
    </xf>
    <xf numFmtId="167" fontId="59" fillId="0" borderId="30" xfId="25" applyNumberFormat="1" applyFont="1" applyBorder="1" applyAlignment="1" applyProtection="1">
      <alignment horizontal="right"/>
      <protection locked="0"/>
    </xf>
    <xf numFmtId="0" fontId="60" fillId="0" borderId="0" xfId="25" applyFont="1" applyAlignment="1">
      <alignment vertical="center"/>
    </xf>
    <xf numFmtId="0" fontId="61" fillId="0" borderId="0" xfId="3" applyFont="1"/>
    <xf numFmtId="49" fontId="51" fillId="0" borderId="30" xfId="25" applyNumberFormat="1" applyFont="1" applyBorder="1" applyAlignment="1">
      <alignment horizontal="right"/>
    </xf>
    <xf numFmtId="0" fontId="10" fillId="0" borderId="30" xfId="25" applyFont="1" applyBorder="1" applyAlignment="1" applyProtection="1">
      <alignment horizontal="left" wrapText="1"/>
      <protection locked="0"/>
    </xf>
    <xf numFmtId="0" fontId="51" fillId="0" borderId="30" xfId="23" applyFont="1" applyBorder="1" applyAlignment="1" applyProtection="1"/>
    <xf numFmtId="39" fontId="10" fillId="0" borderId="30" xfId="25" applyNumberFormat="1" applyFont="1" applyBorder="1" applyAlignment="1" applyProtection="1">
      <alignment horizontal="center"/>
      <protection locked="0"/>
    </xf>
    <xf numFmtId="0" fontId="62" fillId="0" borderId="0" xfId="23" applyFont="1" applyAlignment="1">
      <alignment horizontal="left" vertical="center"/>
      <protection locked="0"/>
    </xf>
    <xf numFmtId="0" fontId="63" fillId="0" borderId="0" xfId="3" applyFont="1"/>
    <xf numFmtId="0" fontId="52" fillId="0" borderId="30" xfId="3" applyFont="1" applyBorder="1" applyAlignment="1" applyProtection="1">
      <alignment horizontal="left" wrapText="1"/>
      <protection locked="0"/>
    </xf>
    <xf numFmtId="0" fontId="64" fillId="0" borderId="0" xfId="32" applyFont="1" applyAlignment="1" applyProtection="1">
      <alignment horizontal="left" vertical="center"/>
      <protection locked="0"/>
    </xf>
    <xf numFmtId="0" fontId="53" fillId="0" borderId="0" xfId="32" applyAlignment="1" applyProtection="1">
      <alignment horizontal="left" vertical="top"/>
      <protection locked="0"/>
    </xf>
    <xf numFmtId="168" fontId="53" fillId="0" borderId="0" xfId="32" applyNumberFormat="1" applyAlignment="1" applyProtection="1">
      <alignment horizontal="left" vertical="top"/>
      <protection locked="0"/>
    </xf>
    <xf numFmtId="49" fontId="10" fillId="0" borderId="30" xfId="32" applyNumberFormat="1" applyFont="1" applyBorder="1" applyAlignment="1" applyProtection="1">
      <alignment horizontal="right" wrapText="1"/>
      <protection locked="0"/>
    </xf>
    <xf numFmtId="49" fontId="10" fillId="0" borderId="30" xfId="32" applyNumberFormat="1" applyFont="1" applyBorder="1" applyAlignment="1" applyProtection="1">
      <alignment horizontal="left" wrapText="1"/>
      <protection locked="0"/>
    </xf>
    <xf numFmtId="0" fontId="30" fillId="0" borderId="30" xfId="32" applyFont="1" applyBorder="1" applyAlignment="1" applyProtection="1">
      <alignment horizontal="left" wrapText="1"/>
      <protection locked="0"/>
    </xf>
    <xf numFmtId="0" fontId="30" fillId="0" borderId="30" xfId="3" applyFont="1" applyBorder="1" applyAlignment="1" applyProtection="1">
      <alignment horizontal="left" wrapText="1"/>
      <protection locked="0"/>
    </xf>
    <xf numFmtId="167" fontId="30" fillId="0" borderId="30" xfId="3" applyNumberFormat="1" applyFont="1" applyBorder="1" applyAlignment="1" applyProtection="1">
      <alignment horizontal="right"/>
      <protection locked="0"/>
    </xf>
    <xf numFmtId="4" fontId="30" fillId="0" borderId="30" xfId="32" applyNumberFormat="1" applyFont="1" applyBorder="1" applyAlignment="1" applyProtection="1">
      <alignment horizontal="right"/>
      <protection locked="0"/>
    </xf>
    <xf numFmtId="4" fontId="10" fillId="0" borderId="30" xfId="32" applyNumberFormat="1" applyFont="1" applyBorder="1" applyAlignment="1" applyProtection="1">
      <alignment horizontal="right"/>
      <protection locked="0"/>
    </xf>
    <xf numFmtId="39" fontId="10" fillId="0" borderId="30" xfId="32" applyNumberFormat="1" applyFont="1" applyBorder="1" applyAlignment="1" applyProtection="1">
      <alignment horizontal="center"/>
      <protection locked="0"/>
    </xf>
    <xf numFmtId="0" fontId="65" fillId="0" borderId="0" xfId="33" applyFill="1" applyAlignment="1" applyProtection="1">
      <alignment horizontal="left" vertical="center"/>
      <protection locked="0"/>
    </xf>
    <xf numFmtId="167" fontId="30" fillId="0" borderId="30" xfId="32" applyNumberFormat="1" applyFont="1" applyBorder="1" applyAlignment="1" applyProtection="1">
      <alignment horizontal="right"/>
      <protection locked="0"/>
    </xf>
    <xf numFmtId="39" fontId="10" fillId="0" borderId="30" xfId="32" applyNumberFormat="1" applyFont="1" applyBorder="1" applyAlignment="1" applyProtection="1">
      <alignment horizontal="right"/>
      <protection locked="0"/>
    </xf>
    <xf numFmtId="0" fontId="66" fillId="0" borderId="0" xfId="32" applyFont="1" applyAlignment="1" applyProtection="1">
      <alignment horizontal="left" vertical="top"/>
      <protection locked="0"/>
    </xf>
    <xf numFmtId="0" fontId="67" fillId="0" borderId="0" xfId="33" applyFont="1" applyFill="1" applyAlignment="1" applyProtection="1">
      <alignment vertical="center"/>
    </xf>
    <xf numFmtId="167" fontId="10" fillId="0" borderId="30" xfId="3" applyNumberFormat="1" applyFont="1" applyBorder="1" applyAlignment="1" applyProtection="1">
      <alignment horizontal="right"/>
      <protection locked="0"/>
    </xf>
    <xf numFmtId="49" fontId="68" fillId="0" borderId="30" xfId="34" applyNumberFormat="1" applyFont="1" applyBorder="1" applyAlignment="1" applyProtection="1">
      <alignment horizontal="right"/>
      <protection locked="0"/>
    </xf>
    <xf numFmtId="49" fontId="68" fillId="0" borderId="30" xfId="34" applyNumberFormat="1" applyFont="1" applyBorder="1" applyAlignment="1" applyProtection="1">
      <alignment horizontal="left" wrapText="1"/>
      <protection locked="0"/>
    </xf>
    <xf numFmtId="0" fontId="68" fillId="0" borderId="30" xfId="34" applyFont="1" applyBorder="1" applyAlignment="1" applyProtection="1">
      <alignment horizontal="left" wrapText="1"/>
      <protection locked="0"/>
    </xf>
    <xf numFmtId="0" fontId="30" fillId="0" borderId="30" xfId="35" applyFont="1" applyBorder="1" applyAlignment="1">
      <alignment horizontal="left" vertical="center" wrapText="1"/>
      <protection locked="0"/>
    </xf>
    <xf numFmtId="0" fontId="30" fillId="0" borderId="30" xfId="34" applyFont="1" applyBorder="1" applyAlignment="1" applyProtection="1">
      <alignment horizontal="left" wrapText="1"/>
      <protection locked="0"/>
    </xf>
    <xf numFmtId="167" fontId="30" fillId="0" borderId="30" xfId="34" applyNumberFormat="1" applyFont="1" applyBorder="1" applyAlignment="1" applyProtection="1">
      <alignment horizontal="right"/>
      <protection locked="0"/>
    </xf>
    <xf numFmtId="4" fontId="10" fillId="0" borderId="30" xfId="34" applyNumberFormat="1" applyFont="1" applyBorder="1" applyAlignment="1" applyProtection="1">
      <alignment horizontal="right"/>
      <protection locked="0"/>
    </xf>
    <xf numFmtId="0" fontId="70" fillId="0" borderId="30" xfId="34" applyFont="1" applyBorder="1" applyAlignment="1" applyProtection="1">
      <alignment horizontal="right" vertical="center"/>
      <protection locked="0"/>
    </xf>
    <xf numFmtId="0" fontId="25" fillId="0" borderId="0" xfId="34" applyAlignment="1" applyProtection="1">
      <alignment horizontal="left" vertical="top"/>
      <protection locked="0"/>
    </xf>
    <xf numFmtId="0" fontId="25" fillId="0" borderId="0" xfId="34"/>
    <xf numFmtId="0" fontId="71" fillId="0" borderId="0" xfId="33" applyFont="1" applyFill="1" applyAlignment="1" applyProtection="1">
      <alignment vertical="center"/>
    </xf>
    <xf numFmtId="167" fontId="39" fillId="0" borderId="30" xfId="3" applyNumberFormat="1" applyFont="1" applyBorder="1" applyAlignment="1" applyProtection="1">
      <alignment horizontal="right"/>
      <protection locked="0"/>
    </xf>
    <xf numFmtId="0" fontId="72" fillId="0" borderId="0" xfId="25" applyFont="1" applyAlignment="1" applyProtection="1">
      <alignment horizontal="left" vertical="center"/>
      <protection locked="0"/>
    </xf>
    <xf numFmtId="0" fontId="9" fillId="0" borderId="0" xfId="25" applyAlignment="1" applyProtection="1">
      <alignment horizontal="left" vertical="top"/>
      <protection locked="0"/>
    </xf>
    <xf numFmtId="2" fontId="9" fillId="0" borderId="0" xfId="25" applyNumberFormat="1" applyAlignment="1" applyProtection="1">
      <alignment horizontal="left" vertical="top"/>
      <protection locked="0"/>
    </xf>
    <xf numFmtId="49" fontId="10" fillId="0" borderId="30" xfId="36" applyNumberFormat="1" applyFont="1" applyBorder="1" applyAlignment="1" applyProtection="1">
      <alignment horizontal="right"/>
      <protection locked="0"/>
    </xf>
    <xf numFmtId="0" fontId="10" fillId="0" borderId="30" xfId="36" applyFont="1" applyBorder="1" applyAlignment="1" applyProtection="1">
      <alignment horizontal="left" wrapText="1"/>
      <protection locked="0"/>
    </xf>
    <xf numFmtId="0" fontId="73" fillId="0" borderId="0" xfId="32" applyFont="1" applyAlignment="1" applyProtection="1">
      <alignment horizontal="left" vertical="top"/>
      <protection locked="0"/>
    </xf>
    <xf numFmtId="0" fontId="9" fillId="7" borderId="0" xfId="25" applyFill="1" applyAlignment="1" applyProtection="1">
      <alignment horizontal="left" vertical="top"/>
      <protection locked="0"/>
    </xf>
    <xf numFmtId="0" fontId="30" fillId="0" borderId="30" xfId="37" applyFont="1" applyBorder="1" applyAlignment="1">
      <alignment horizontal="left" wrapText="1"/>
    </xf>
    <xf numFmtId="0" fontId="74" fillId="0" borderId="30" xfId="29" applyFont="1" applyBorder="1" applyAlignment="1">
      <alignment horizontal="left" wrapText="1"/>
    </xf>
    <xf numFmtId="0" fontId="30" fillId="0" borderId="30" xfId="29" applyFont="1" applyBorder="1" applyAlignment="1">
      <alignment horizontal="left" wrapText="1"/>
    </xf>
    <xf numFmtId="0" fontId="74" fillId="0" borderId="30" xfId="37" applyFont="1" applyBorder="1" applyAlignment="1">
      <alignment horizontal="left" wrapText="1"/>
    </xf>
    <xf numFmtId="39" fontId="75" fillId="0" borderId="30" xfId="32" applyNumberFormat="1" applyFont="1" applyBorder="1" applyAlignment="1" applyProtection="1">
      <alignment horizontal="right"/>
      <protection locked="0"/>
    </xf>
    <xf numFmtId="2" fontId="72" fillId="0" borderId="0" xfId="25" applyNumberFormat="1" applyFont="1" applyAlignment="1" applyProtection="1">
      <alignment horizontal="left" vertical="center"/>
      <protection locked="0"/>
    </xf>
    <xf numFmtId="167" fontId="10" fillId="0" borderId="30" xfId="3" applyNumberFormat="1" applyFont="1" applyBorder="1" applyAlignment="1" applyProtection="1">
      <alignment horizontal="right" wrapText="1"/>
      <protection locked="0"/>
    </xf>
    <xf numFmtId="2" fontId="30" fillId="0" borderId="30" xfId="3" applyNumberFormat="1" applyFont="1" applyBorder="1" applyAlignment="1" applyProtection="1">
      <alignment horizontal="right"/>
      <protection locked="0"/>
    </xf>
    <xf numFmtId="2" fontId="66" fillId="0" borderId="0" xfId="32" applyNumberFormat="1" applyFont="1" applyAlignment="1" applyProtection="1">
      <alignment horizontal="left" vertical="top"/>
      <protection locked="0"/>
    </xf>
    <xf numFmtId="39" fontId="10" fillId="0" borderId="30" xfId="23" applyNumberFormat="1" applyFont="1" applyBorder="1" applyAlignment="1">
      <alignment horizontal="center"/>
      <protection locked="0"/>
    </xf>
    <xf numFmtId="0" fontId="76" fillId="0" borderId="30" xfId="25" applyFont="1" applyBorder="1"/>
    <xf numFmtId="0" fontId="77" fillId="0" borderId="0" xfId="32" applyFont="1" applyAlignment="1" applyProtection="1">
      <alignment horizontal="left" vertical="top"/>
      <protection locked="0"/>
    </xf>
    <xf numFmtId="0" fontId="72" fillId="0" borderId="0" xfId="32" applyFont="1" applyAlignment="1" applyProtection="1">
      <alignment horizontal="left" vertical="center"/>
      <protection locked="0"/>
    </xf>
    <xf numFmtId="49" fontId="10" fillId="0" borderId="30" xfId="25" applyNumberFormat="1" applyFont="1" applyBorder="1" applyAlignment="1" applyProtection="1">
      <alignment horizontal="right"/>
      <protection locked="0"/>
    </xf>
    <xf numFmtId="49" fontId="10" fillId="0" borderId="30" xfId="25" applyNumberFormat="1" applyFont="1" applyBorder="1" applyAlignment="1" applyProtection="1">
      <alignment horizontal="left" wrapText="1"/>
      <protection locked="0"/>
    </xf>
    <xf numFmtId="169" fontId="10" fillId="0" borderId="30" xfId="25" applyNumberFormat="1" applyFont="1" applyBorder="1" applyAlignment="1" applyProtection="1">
      <alignment horizontal="right"/>
      <protection locked="0"/>
    </xf>
    <xf numFmtId="4" fontId="10" fillId="0" borderId="30" xfId="25" applyNumberFormat="1" applyFont="1" applyBorder="1" applyAlignment="1" applyProtection="1">
      <alignment horizontal="right"/>
      <protection locked="0"/>
    </xf>
    <xf numFmtId="167" fontId="10" fillId="0" borderId="30" xfId="25" applyNumberFormat="1" applyFont="1" applyBorder="1" applyAlignment="1" applyProtection="1">
      <alignment horizontal="right"/>
      <protection locked="0"/>
    </xf>
    <xf numFmtId="4" fontId="78" fillId="0" borderId="0" xfId="25" applyNumberFormat="1" applyFont="1" applyAlignment="1" applyProtection="1">
      <alignment horizontal="center" vertical="center"/>
      <protection locked="0"/>
    </xf>
    <xf numFmtId="4" fontId="79" fillId="0" borderId="0" xfId="25" applyNumberFormat="1" applyFont="1" applyAlignment="1" applyProtection="1">
      <alignment horizontal="center" vertical="center"/>
      <protection locked="0"/>
    </xf>
    <xf numFmtId="0" fontId="80" fillId="0" borderId="0" xfId="30" applyFont="1" applyAlignment="1" applyProtection="1">
      <alignment horizontal="center" vertical="center"/>
      <protection locked="0"/>
    </xf>
    <xf numFmtId="49" fontId="10" fillId="0" borderId="30" xfId="23" applyNumberFormat="1" applyFont="1" applyBorder="1" applyAlignment="1">
      <alignment horizontal="right"/>
      <protection locked="0"/>
    </xf>
    <xf numFmtId="49" fontId="10" fillId="0" borderId="30" xfId="23" applyNumberFormat="1" applyFont="1" applyBorder="1" applyAlignment="1">
      <alignment horizontal="left" wrapText="1"/>
      <protection locked="0"/>
    </xf>
    <xf numFmtId="0" fontId="81" fillId="0" borderId="30" xfId="3" applyFont="1" applyBorder="1" applyAlignment="1" applyProtection="1">
      <alignment horizontal="left" wrapText="1"/>
      <protection locked="0"/>
    </xf>
    <xf numFmtId="0" fontId="39" fillId="0" borderId="30" xfId="23" applyFont="1" applyBorder="1" applyAlignment="1">
      <alignment horizontal="left" wrapText="1"/>
      <protection locked="0"/>
    </xf>
    <xf numFmtId="167" fontId="81" fillId="0" borderId="30" xfId="3" applyNumberFormat="1" applyFont="1" applyBorder="1" applyAlignment="1" applyProtection="1">
      <alignment horizontal="right"/>
      <protection locked="0"/>
    </xf>
    <xf numFmtId="4" fontId="10" fillId="0" borderId="30" xfId="23" applyNumberFormat="1" applyFont="1" applyBorder="1" applyAlignment="1">
      <alignment horizontal="right"/>
      <protection locked="0"/>
    </xf>
    <xf numFmtId="0" fontId="82" fillId="0" borderId="0" xfId="23" applyFont="1" applyAlignment="1">
      <alignment horizontal="left" vertical="center"/>
      <protection locked="0"/>
    </xf>
    <xf numFmtId="49" fontId="68" fillId="0" borderId="30" xfId="25" applyNumberFormat="1" applyFont="1" applyBorder="1" applyAlignment="1" applyProtection="1">
      <alignment horizontal="right"/>
      <protection locked="0"/>
    </xf>
    <xf numFmtId="49" fontId="68" fillId="0" borderId="30" xfId="25" applyNumberFormat="1" applyFont="1" applyBorder="1" applyAlignment="1" applyProtection="1">
      <alignment horizontal="left" wrapText="1"/>
      <protection locked="0"/>
    </xf>
    <xf numFmtId="0" fontId="68" fillId="0" borderId="30" xfId="25" applyFont="1" applyBorder="1" applyAlignment="1" applyProtection="1">
      <alignment horizontal="left" wrapText="1"/>
      <protection locked="0"/>
    </xf>
    <xf numFmtId="0" fontId="9" fillId="0" borderId="30" xfId="25" applyBorder="1" applyAlignment="1" applyProtection="1">
      <alignment horizontal="left" vertical="top"/>
      <protection locked="0"/>
    </xf>
    <xf numFmtId="0" fontId="49" fillId="0" borderId="0" xfId="25" applyFont="1" applyAlignment="1" applyProtection="1">
      <alignment horizontal="left" vertical="center"/>
      <protection locked="0"/>
    </xf>
    <xf numFmtId="49" fontId="74" fillId="0" borderId="30" xfId="25" applyNumberFormat="1" applyFont="1" applyBorder="1" applyAlignment="1" applyProtection="1">
      <alignment horizontal="right"/>
      <protection locked="0"/>
    </xf>
    <xf numFmtId="0" fontId="74" fillId="0" borderId="30" xfId="3" applyFont="1" applyBorder="1" applyAlignment="1" applyProtection="1">
      <alignment horizontal="left" wrapText="1"/>
      <protection locked="0"/>
    </xf>
    <xf numFmtId="0" fontId="74" fillId="0" borderId="30" xfId="25" applyFont="1" applyBorder="1" applyAlignment="1" applyProtection="1">
      <alignment horizontal="left" wrapText="1"/>
      <protection locked="0"/>
    </xf>
    <xf numFmtId="4" fontId="30" fillId="5" borderId="30" xfId="25" applyNumberFormat="1" applyFont="1" applyFill="1" applyBorder="1" applyAlignment="1" applyProtection="1">
      <alignment horizontal="right"/>
      <protection locked="0"/>
    </xf>
    <xf numFmtId="39" fontId="74" fillId="0" borderId="30" xfId="12" applyNumberFormat="1" applyFont="1" applyBorder="1" applyAlignment="1">
      <alignment horizontal="center"/>
      <protection locked="0"/>
    </xf>
    <xf numFmtId="0" fontId="12" fillId="0" borderId="0" xfId="3" applyAlignment="1" applyProtection="1">
      <alignment horizontal="left" vertical="top"/>
      <protection locked="0"/>
    </xf>
    <xf numFmtId="0" fontId="69" fillId="0" borderId="0" xfId="3" applyFont="1"/>
    <xf numFmtId="0" fontId="12" fillId="0" borderId="0" xfId="3" applyAlignment="1">
      <alignment horizontal="right" vertical="center"/>
    </xf>
    <xf numFmtId="2" fontId="30" fillId="0" borderId="30" xfId="25" applyNumberFormat="1" applyFont="1" applyBorder="1" applyAlignment="1" applyProtection="1">
      <alignment horizontal="right"/>
      <protection locked="0"/>
    </xf>
    <xf numFmtId="0" fontId="10" fillId="0" borderId="30" xfId="23" applyFont="1" applyBorder="1" applyAlignment="1">
      <alignment horizontal="left" wrapText="1"/>
      <protection locked="0"/>
    </xf>
    <xf numFmtId="2" fontId="49" fillId="0" borderId="0" xfId="25" applyNumberFormat="1" applyFont="1" applyAlignment="1" applyProtection="1">
      <alignment horizontal="left" vertical="center"/>
      <protection locked="0"/>
    </xf>
    <xf numFmtId="49" fontId="10" fillId="0" borderId="30" xfId="26" applyNumberFormat="1" applyFont="1" applyBorder="1" applyAlignment="1" applyProtection="1">
      <alignment horizontal="right"/>
      <protection locked="0"/>
    </xf>
    <xf numFmtId="49" fontId="10" fillId="0" borderId="30" xfId="26" applyNumberFormat="1" applyFont="1" applyBorder="1" applyAlignment="1" applyProtection="1">
      <alignment horizontal="left" wrapText="1"/>
      <protection locked="0"/>
    </xf>
    <xf numFmtId="0" fontId="10" fillId="0" borderId="30" xfId="26" applyFont="1" applyBorder="1" applyAlignment="1" applyProtection="1">
      <alignment horizontal="left" wrapText="1"/>
      <protection locked="0"/>
    </xf>
    <xf numFmtId="0" fontId="30" fillId="0" borderId="30" xfId="26" applyFont="1" applyBorder="1" applyAlignment="1" applyProtection="1">
      <alignment horizontal="left" wrapText="1"/>
      <protection locked="0"/>
    </xf>
    <xf numFmtId="167" fontId="10" fillId="0" borderId="30" xfId="26" applyNumberFormat="1" applyFont="1" applyBorder="1" applyAlignment="1" applyProtection="1">
      <alignment horizontal="right"/>
      <protection locked="0"/>
    </xf>
    <xf numFmtId="4" fontId="10" fillId="0" borderId="30" xfId="26" applyNumberFormat="1" applyFont="1" applyBorder="1" applyAlignment="1" applyProtection="1">
      <alignment horizontal="right"/>
      <protection locked="0"/>
    </xf>
    <xf numFmtId="39" fontId="10" fillId="0" borderId="30" xfId="26" applyNumberFormat="1" applyFont="1" applyBorder="1" applyAlignment="1" applyProtection="1">
      <alignment horizontal="center"/>
      <protection locked="0"/>
    </xf>
    <xf numFmtId="2" fontId="73" fillId="0" borderId="0" xfId="26" applyNumberFormat="1" applyFont="1" applyAlignment="1" applyProtection="1">
      <alignment horizontal="left" vertical="center"/>
      <protection locked="0"/>
    </xf>
    <xf numFmtId="0" fontId="14" fillId="0" borderId="0" xfId="26" applyAlignment="1" applyProtection="1">
      <alignment horizontal="left" vertical="top"/>
      <protection locked="0"/>
    </xf>
    <xf numFmtId="0" fontId="14" fillId="0" borderId="0" xfId="26"/>
    <xf numFmtId="49" fontId="10" fillId="0" borderId="30" xfId="6" applyNumberFormat="1" applyFont="1" applyBorder="1" applyAlignment="1" applyProtection="1">
      <alignment horizontal="right"/>
      <protection locked="0"/>
    </xf>
    <xf numFmtId="49" fontId="10" fillId="0" borderId="30" xfId="6" applyNumberFormat="1" applyFont="1" applyBorder="1" applyAlignment="1" applyProtection="1">
      <alignment horizontal="left" wrapText="1"/>
      <protection locked="0"/>
    </xf>
    <xf numFmtId="0" fontId="39" fillId="0" borderId="30" xfId="6" applyFont="1" applyBorder="1" applyAlignment="1" applyProtection="1">
      <alignment horizontal="left" wrapText="1"/>
      <protection locked="0"/>
    </xf>
    <xf numFmtId="39" fontId="10" fillId="0" borderId="30" xfId="6" applyNumberFormat="1" applyFont="1" applyBorder="1" applyAlignment="1" applyProtection="1">
      <alignment horizontal="right"/>
      <protection locked="0"/>
    </xf>
    <xf numFmtId="39" fontId="10" fillId="0" borderId="30" xfId="6" applyNumberFormat="1" applyFont="1" applyBorder="1" applyAlignment="1" applyProtection="1">
      <alignment horizontal="center"/>
      <protection locked="0"/>
    </xf>
    <xf numFmtId="2" fontId="83" fillId="0" borderId="0" xfId="23" applyNumberFormat="1" applyFont="1" applyAlignment="1">
      <alignment horizontal="left" vertical="center"/>
      <protection locked="0"/>
    </xf>
    <xf numFmtId="0" fontId="14" fillId="0" borderId="0" xfId="6"/>
    <xf numFmtId="0" fontId="14" fillId="0" borderId="0" xfId="6" applyAlignment="1" applyProtection="1">
      <alignment horizontal="left" vertical="top"/>
      <protection locked="0"/>
    </xf>
    <xf numFmtId="49" fontId="68" fillId="0" borderId="30" xfId="23" applyNumberFormat="1" applyFont="1" applyBorder="1" applyAlignment="1">
      <alignment horizontal="right"/>
      <protection locked="0"/>
    </xf>
    <xf numFmtId="49" fontId="68" fillId="0" borderId="30" xfId="23" applyNumberFormat="1" applyFont="1" applyBorder="1" applyAlignment="1">
      <alignment horizontal="left" wrapText="1"/>
      <protection locked="0"/>
    </xf>
    <xf numFmtId="0" fontId="68" fillId="0" borderId="30" xfId="23" applyFont="1" applyBorder="1" applyAlignment="1">
      <alignment horizontal="left" wrapText="1"/>
      <protection locked="0"/>
    </xf>
    <xf numFmtId="0" fontId="30" fillId="0" borderId="30" xfId="23" applyFont="1" applyBorder="1" applyAlignment="1">
      <alignment horizontal="left" wrapText="1"/>
      <protection locked="0"/>
    </xf>
    <xf numFmtId="167" fontId="30" fillId="0" borderId="30" xfId="23" applyNumberFormat="1" applyFont="1" applyBorder="1" applyAlignment="1">
      <alignment horizontal="right" wrapText="1"/>
      <protection locked="0"/>
    </xf>
    <xf numFmtId="0" fontId="13" fillId="0" borderId="30" xfId="23" applyBorder="1" applyAlignment="1">
      <alignment horizontal="left" vertical="top"/>
      <protection locked="0"/>
    </xf>
    <xf numFmtId="2" fontId="82" fillId="0" borderId="0" xfId="6" applyNumberFormat="1" applyFont="1" applyAlignment="1" applyProtection="1">
      <alignment horizontal="left" vertical="center"/>
      <protection locked="0"/>
    </xf>
    <xf numFmtId="169" fontId="84" fillId="0" borderId="0" xfId="23" applyNumberFormat="1" applyFont="1" applyAlignment="1">
      <alignment horizontal="left" vertical="top"/>
      <protection locked="0"/>
    </xf>
    <xf numFmtId="0" fontId="82" fillId="0" borderId="0" xfId="23" applyFont="1" applyAlignment="1">
      <alignment horizontal="left" vertical="top"/>
      <protection locked="0"/>
    </xf>
    <xf numFmtId="0" fontId="82" fillId="0" borderId="0" xfId="23" applyFont="1" applyAlignment="1" applyProtection="1"/>
    <xf numFmtId="0" fontId="84" fillId="0" borderId="0" xfId="23" applyFont="1" applyAlignment="1">
      <alignment horizontal="left" vertical="top"/>
      <protection locked="0"/>
    </xf>
    <xf numFmtId="49" fontId="74" fillId="0" borderId="30" xfId="23" applyNumberFormat="1" applyFont="1" applyBorder="1" applyAlignment="1">
      <alignment horizontal="right"/>
      <protection locked="0"/>
    </xf>
    <xf numFmtId="0" fontId="74" fillId="0" borderId="30" xfId="23" applyFont="1" applyBorder="1" applyAlignment="1">
      <alignment horizontal="left" wrapText="1"/>
      <protection locked="0"/>
    </xf>
    <xf numFmtId="167" fontId="30" fillId="0" borderId="30" xfId="23" applyNumberFormat="1" applyFont="1" applyBorder="1" applyAlignment="1">
      <alignment horizontal="right"/>
      <protection locked="0"/>
    </xf>
    <xf numFmtId="4" fontId="30" fillId="5" borderId="30" xfId="23" applyNumberFormat="1" applyFont="1" applyFill="1" applyBorder="1" applyAlignment="1">
      <alignment horizontal="right"/>
      <protection locked="0"/>
    </xf>
    <xf numFmtId="0" fontId="82" fillId="0" borderId="0" xfId="3" applyFont="1" applyAlignment="1" applyProtection="1">
      <alignment horizontal="left" vertical="center"/>
      <protection locked="0"/>
    </xf>
    <xf numFmtId="0" fontId="12" fillId="0" borderId="0" xfId="3" applyAlignment="1" applyProtection="1">
      <alignment horizontal="left" vertical="center"/>
      <protection locked="0"/>
    </xf>
    <xf numFmtId="0" fontId="12" fillId="0" borderId="0" xfId="3" applyAlignment="1">
      <alignment vertical="center"/>
    </xf>
    <xf numFmtId="0" fontId="69" fillId="0" borderId="0" xfId="3" applyFont="1" applyAlignment="1">
      <alignment vertical="center"/>
    </xf>
    <xf numFmtId="0" fontId="12" fillId="0" borderId="0" xfId="3" applyAlignment="1">
      <alignment horizontal="left" vertical="center"/>
    </xf>
    <xf numFmtId="49" fontId="30" fillId="0" borderId="30" xfId="23" applyNumberFormat="1" applyFont="1" applyBorder="1" applyAlignment="1">
      <alignment horizontal="right"/>
      <protection locked="0"/>
    </xf>
    <xf numFmtId="49" fontId="68" fillId="0" borderId="30" xfId="3" applyNumberFormat="1" applyFont="1" applyBorder="1" applyAlignment="1" applyProtection="1">
      <alignment horizontal="left" wrapText="1"/>
      <protection locked="0"/>
    </xf>
    <xf numFmtId="39" fontId="30" fillId="5" borderId="30" xfId="25" applyNumberFormat="1" applyFont="1" applyFill="1" applyBorder="1" applyAlignment="1" applyProtection="1">
      <alignment horizontal="right"/>
      <protection locked="0"/>
    </xf>
    <xf numFmtId="0" fontId="85" fillId="0" borderId="0" xfId="3" applyFont="1"/>
    <xf numFmtId="49" fontId="74" fillId="0" borderId="30" xfId="35" applyNumberFormat="1" applyFont="1" applyBorder="1" applyAlignment="1">
      <alignment horizontal="right"/>
      <protection locked="0"/>
    </xf>
    <xf numFmtId="49" fontId="68" fillId="0" borderId="30" xfId="35" applyNumberFormat="1" applyFont="1" applyBorder="1" applyAlignment="1">
      <alignment horizontal="left" wrapText="1"/>
      <protection locked="0"/>
    </xf>
    <xf numFmtId="0" fontId="30" fillId="0" borderId="30" xfId="12" applyFont="1" applyBorder="1" applyAlignment="1">
      <alignment horizontal="left" wrapText="1"/>
      <protection locked="0"/>
    </xf>
    <xf numFmtId="0" fontId="74" fillId="0" borderId="30" xfId="35" applyFont="1" applyBorder="1" applyAlignment="1">
      <alignment horizontal="left" wrapText="1"/>
      <protection locked="0"/>
    </xf>
    <xf numFmtId="167" fontId="30" fillId="0" borderId="30" xfId="38" applyNumberFormat="1" applyFont="1" applyBorder="1" applyAlignment="1" applyProtection="1">
      <alignment horizontal="right"/>
      <protection locked="0"/>
    </xf>
    <xf numFmtId="4" fontId="30" fillId="5" borderId="30" xfId="38" applyNumberFormat="1" applyFont="1" applyFill="1" applyBorder="1" applyAlignment="1" applyProtection="1">
      <alignment horizontal="right"/>
      <protection locked="0"/>
    </xf>
    <xf numFmtId="0" fontId="86" fillId="0" borderId="0" xfId="35" applyFont="1" applyAlignment="1">
      <alignment horizontal="right" vertical="top"/>
      <protection locked="0"/>
    </xf>
    <xf numFmtId="0" fontId="86" fillId="0" borderId="0" xfId="35" applyFont="1" applyAlignment="1">
      <alignment horizontal="left" vertical="top"/>
      <protection locked="0"/>
    </xf>
    <xf numFmtId="49" fontId="74" fillId="0" borderId="30" xfId="39" applyNumberFormat="1" applyFont="1" applyBorder="1" applyAlignment="1">
      <alignment horizontal="right"/>
      <protection locked="0"/>
    </xf>
    <xf numFmtId="49" fontId="68" fillId="0" borderId="30" xfId="39" applyNumberFormat="1" applyFont="1" applyBorder="1" applyAlignment="1">
      <alignment horizontal="left" wrapText="1"/>
      <protection locked="0"/>
    </xf>
    <xf numFmtId="0" fontId="68" fillId="0" borderId="30" xfId="39" applyFont="1" applyBorder="1" applyAlignment="1">
      <alignment horizontal="left" wrapText="1"/>
      <protection locked="0"/>
    </xf>
    <xf numFmtId="0" fontId="74" fillId="0" borderId="30" xfId="39" applyFont="1" applyBorder="1" applyAlignment="1">
      <alignment horizontal="left" wrapText="1"/>
      <protection locked="0"/>
    </xf>
    <xf numFmtId="167" fontId="30" fillId="0" borderId="30" xfId="39" applyNumberFormat="1" applyFont="1" applyBorder="1" applyAlignment="1">
      <alignment horizontal="right" wrapText="1"/>
      <protection locked="0"/>
    </xf>
    <xf numFmtId="4" fontId="30" fillId="0" borderId="30" xfId="39" applyNumberFormat="1" applyFont="1" applyBorder="1" applyAlignment="1">
      <alignment horizontal="right"/>
      <protection locked="0"/>
    </xf>
    <xf numFmtId="0" fontId="86" fillId="0" borderId="30" xfId="39" applyFont="1" applyBorder="1" applyAlignment="1">
      <alignment horizontal="left" vertical="top"/>
      <protection locked="0"/>
    </xf>
    <xf numFmtId="0" fontId="85" fillId="0" borderId="0" xfId="3" applyFont="1" applyAlignment="1" applyProtection="1">
      <alignment horizontal="left" vertical="top"/>
      <protection locked="0"/>
    </xf>
    <xf numFmtId="0" fontId="86" fillId="0" borderId="0" xfId="39" applyFont="1" applyAlignment="1">
      <alignment horizontal="left" vertical="top"/>
      <protection locked="0"/>
    </xf>
    <xf numFmtId="37" fontId="88" fillId="0" borderId="0" xfId="25" applyNumberFormat="1" applyFont="1" applyAlignment="1">
      <alignment horizontal="right"/>
    </xf>
    <xf numFmtId="0" fontId="88" fillId="0" borderId="0" xfId="25" applyFont="1" applyAlignment="1">
      <alignment horizontal="left" wrapText="1"/>
    </xf>
    <xf numFmtId="170" fontId="88" fillId="0" borderId="0" xfId="25" applyNumberFormat="1" applyFont="1" applyAlignment="1">
      <alignment horizontal="right"/>
    </xf>
    <xf numFmtId="39" fontId="88" fillId="0" borderId="0" xfId="25" applyNumberFormat="1" applyFont="1" applyAlignment="1">
      <alignment horizontal="right"/>
    </xf>
    <xf numFmtId="37" fontId="10" fillId="0" borderId="21" xfId="25" applyNumberFormat="1" applyFont="1" applyBorder="1" applyAlignment="1">
      <alignment horizontal="right"/>
    </xf>
    <xf numFmtId="0" fontId="10" fillId="0" borderId="21" xfId="25" applyFont="1" applyBorder="1" applyAlignment="1">
      <alignment horizontal="left" wrapText="1"/>
    </xf>
    <xf numFmtId="0" fontId="10" fillId="0" borderId="21" xfId="25" applyFont="1" applyBorder="1" applyAlignment="1">
      <alignment horizontal="center" wrapText="1"/>
    </xf>
    <xf numFmtId="170" fontId="10" fillId="0" borderId="21" xfId="25" applyNumberFormat="1" applyFont="1" applyBorder="1" applyAlignment="1">
      <alignment horizontal="right"/>
    </xf>
    <xf numFmtId="39" fontId="10" fillId="0" borderId="21" xfId="25" applyNumberFormat="1" applyFont="1" applyBorder="1" applyAlignment="1">
      <alignment horizontal="right"/>
    </xf>
    <xf numFmtId="0" fontId="89" fillId="0" borderId="0" xfId="25" applyFont="1" applyAlignment="1">
      <alignment horizontal="left" vertical="top"/>
    </xf>
    <xf numFmtId="0" fontId="39" fillId="0" borderId="32" xfId="25" applyFont="1" applyBorder="1" applyAlignment="1">
      <alignment horizontal="left"/>
    </xf>
    <xf numFmtId="0" fontId="68" fillId="0" borderId="33" xfId="25" applyFont="1" applyBorder="1" applyAlignment="1">
      <alignment horizontal="center"/>
    </xf>
    <xf numFmtId="170" fontId="68" fillId="0" borderId="33" xfId="25" applyNumberFormat="1" applyFont="1" applyBorder="1" applyAlignment="1">
      <alignment horizontal="right"/>
    </xf>
    <xf numFmtId="39" fontId="10" fillId="0" borderId="33" xfId="25" applyNumberFormat="1" applyFont="1" applyBorder="1" applyAlignment="1">
      <alignment horizontal="right"/>
    </xf>
    <xf numFmtId="39" fontId="50" fillId="0" borderId="0" xfId="25" applyNumberFormat="1" applyFont="1" applyAlignment="1">
      <alignment horizontal="center"/>
    </xf>
    <xf numFmtId="37" fontId="68" fillId="0" borderId="0" xfId="25" applyNumberFormat="1" applyFont="1" applyAlignment="1">
      <alignment horizontal="right"/>
    </xf>
    <xf numFmtId="0" fontId="68" fillId="0" borderId="0" xfId="25" applyFont="1" applyAlignment="1">
      <alignment horizontal="left" wrapText="1"/>
    </xf>
    <xf numFmtId="0" fontId="10" fillId="0" borderId="0" xfId="25" applyFont="1" applyAlignment="1">
      <alignment horizontal="left" wrapText="1"/>
    </xf>
    <xf numFmtId="0" fontId="68" fillId="0" borderId="0" xfId="25" applyFont="1" applyAlignment="1">
      <alignment horizontal="center" wrapText="1"/>
    </xf>
    <xf numFmtId="170" fontId="68" fillId="0" borderId="0" xfId="25" applyNumberFormat="1" applyFont="1" applyAlignment="1">
      <alignment horizontal="right"/>
    </xf>
    <xf numFmtId="39" fontId="68" fillId="0" borderId="0" xfId="25" applyNumberFormat="1" applyFont="1" applyAlignment="1">
      <alignment horizontal="right"/>
    </xf>
    <xf numFmtId="39" fontId="10" fillId="0" borderId="0" xfId="25" applyNumberFormat="1" applyFont="1" applyAlignment="1">
      <alignment horizontal="right"/>
    </xf>
    <xf numFmtId="0" fontId="11" fillId="0" borderId="0" xfId="21" applyFont="1" applyAlignment="1">
      <alignment horizontal="center" vertical="center" wrapText="1"/>
    </xf>
    <xf numFmtId="0" fontId="38" fillId="0" borderId="0" xfId="28" applyFont="1" applyAlignment="1" applyProtection="1">
      <alignment horizontal="left"/>
    </xf>
    <xf numFmtId="0" fontId="13" fillId="0" borderId="0" xfId="28" applyAlignment="1">
      <alignment vertical="top"/>
      <protection locked="0"/>
    </xf>
    <xf numFmtId="0" fontId="13" fillId="0" borderId="0" xfId="28" applyAlignment="1" applyProtection="1">
      <alignment vertical="top"/>
    </xf>
    <xf numFmtId="0" fontId="51" fillId="0" borderId="30" xfId="28" applyFont="1" applyBorder="1" applyAlignment="1" applyProtection="1">
      <alignment horizontal="left"/>
    </xf>
    <xf numFmtId="0" fontId="11" fillId="0" borderId="30" xfId="28" applyFont="1" applyBorder="1" applyAlignment="1" applyProtection="1">
      <alignment wrapText="1"/>
    </xf>
    <xf numFmtId="0" fontId="52" fillId="0" borderId="30" xfId="28" applyFont="1" applyBorder="1" applyAlignment="1">
      <alignment horizontal="left" wrapText="1"/>
      <protection locked="0"/>
    </xf>
    <xf numFmtId="2" fontId="10" fillId="0" borderId="30" xfId="28" applyNumberFormat="1" applyFont="1" applyBorder="1" applyAlignment="1">
      <alignment horizontal="right"/>
      <protection locked="0"/>
    </xf>
    <xf numFmtId="0" fontId="54" fillId="0" borderId="0" xfId="28" applyFont="1" applyAlignment="1">
      <alignment horizontal="left" vertical="center"/>
      <protection locked="0"/>
    </xf>
    <xf numFmtId="0" fontId="13" fillId="0" borderId="0" xfId="28" applyAlignment="1">
      <alignment horizontal="left" vertical="center"/>
      <protection locked="0"/>
    </xf>
    <xf numFmtId="0" fontId="55" fillId="0" borderId="0" xfId="28" applyFont="1" applyAlignment="1">
      <alignment horizontal="left" vertical="center"/>
      <protection locked="0"/>
    </xf>
    <xf numFmtId="0" fontId="55" fillId="0" borderId="0" xfId="28" applyFont="1" applyAlignment="1">
      <alignment horizontal="left" vertical="top"/>
      <protection locked="0"/>
    </xf>
    <xf numFmtId="0" fontId="51" fillId="0" borderId="30" xfId="28" applyFont="1" applyBorder="1" applyAlignment="1" applyProtection="1"/>
    <xf numFmtId="39" fontId="10" fillId="0" borderId="30" xfId="28" applyNumberFormat="1" applyFont="1" applyBorder="1" applyAlignment="1">
      <alignment horizontal="right"/>
      <protection locked="0"/>
    </xf>
    <xf numFmtId="0" fontId="62" fillId="0" borderId="0" xfId="28" applyFont="1" applyAlignment="1">
      <alignment horizontal="left" vertical="center"/>
      <protection locked="0"/>
    </xf>
    <xf numFmtId="0" fontId="13" fillId="0" borderId="0" xfId="28" applyAlignment="1">
      <alignment horizontal="left" vertical="top"/>
      <protection locked="0"/>
    </xf>
    <xf numFmtId="169" fontId="30" fillId="0" borderId="30" xfId="3" applyNumberFormat="1" applyFont="1" applyBorder="1" applyAlignment="1" applyProtection="1">
      <alignment horizontal="right"/>
      <protection locked="0"/>
    </xf>
    <xf numFmtId="169" fontId="10" fillId="0" borderId="30" xfId="3" applyNumberFormat="1" applyFont="1" applyBorder="1" applyAlignment="1" applyProtection="1">
      <alignment horizontal="right" wrapText="1"/>
      <protection locked="0"/>
    </xf>
    <xf numFmtId="39" fontId="10" fillId="0" borderId="30" xfId="28" applyNumberFormat="1" applyFont="1" applyBorder="1" applyAlignment="1">
      <alignment horizontal="center"/>
      <protection locked="0"/>
    </xf>
    <xf numFmtId="0" fontId="65" fillId="0" borderId="0" xfId="33" applyFill="1" applyAlignment="1" applyProtection="1">
      <alignment horizontal="left" vertical="top"/>
      <protection locked="0"/>
    </xf>
    <xf numFmtId="49" fontId="10" fillId="0" borderId="30" xfId="28" applyNumberFormat="1" applyFont="1" applyBorder="1" applyAlignment="1">
      <alignment horizontal="right"/>
      <protection locked="0"/>
    </xf>
    <xf numFmtId="49" fontId="10" fillId="0" borderId="30" xfId="28" applyNumberFormat="1" applyFont="1" applyBorder="1" applyAlignment="1">
      <alignment horizontal="left" wrapText="1"/>
      <protection locked="0"/>
    </xf>
    <xf numFmtId="0" fontId="39" fillId="0" borderId="30" xfId="28" applyFont="1" applyBorder="1" applyAlignment="1">
      <alignment horizontal="left" wrapText="1"/>
      <protection locked="0"/>
    </xf>
    <xf numFmtId="4" fontId="10" fillId="0" borderId="30" xfId="28" applyNumberFormat="1" applyFont="1" applyBorder="1" applyAlignment="1">
      <alignment horizontal="right"/>
      <protection locked="0"/>
    </xf>
    <xf numFmtId="0" fontId="82" fillId="0" borderId="0" xfId="28" applyFont="1" applyAlignment="1">
      <alignment horizontal="left" vertical="center"/>
      <protection locked="0"/>
    </xf>
    <xf numFmtId="0" fontId="13" fillId="0" borderId="0" xfId="28" applyAlignment="1" applyProtection="1"/>
    <xf numFmtId="0" fontId="10" fillId="0" borderId="30" xfId="28" applyFont="1" applyBorder="1" applyAlignment="1">
      <alignment horizontal="left" wrapText="1"/>
      <protection locked="0"/>
    </xf>
    <xf numFmtId="2" fontId="83" fillId="0" borderId="0" xfId="28" applyNumberFormat="1" applyFont="1" applyAlignment="1">
      <alignment horizontal="left" vertical="center"/>
      <protection locked="0"/>
    </xf>
    <xf numFmtId="49" fontId="68" fillId="0" borderId="30" xfId="28" applyNumberFormat="1" applyFont="1" applyBorder="1" applyAlignment="1">
      <alignment horizontal="right"/>
      <protection locked="0"/>
    </xf>
    <xf numFmtId="49" fontId="68" fillId="0" borderId="30" xfId="28" applyNumberFormat="1" applyFont="1" applyBorder="1" applyAlignment="1">
      <alignment horizontal="left" wrapText="1"/>
      <protection locked="0"/>
    </xf>
    <xf numFmtId="0" fontId="68" fillId="0" borderId="30" xfId="28" applyFont="1" applyBorder="1" applyAlignment="1">
      <alignment horizontal="left" wrapText="1"/>
      <protection locked="0"/>
    </xf>
    <xf numFmtId="0" fontId="30" fillId="0" borderId="30" xfId="28" applyFont="1" applyBorder="1" applyAlignment="1">
      <alignment horizontal="left" wrapText="1"/>
      <protection locked="0"/>
    </xf>
    <xf numFmtId="167" fontId="30" fillId="0" borderId="30" xfId="28" applyNumberFormat="1" applyFont="1" applyBorder="1" applyAlignment="1">
      <alignment horizontal="right" wrapText="1"/>
      <protection locked="0"/>
    </xf>
    <xf numFmtId="0" fontId="13" fillId="0" borderId="30" xfId="28" applyBorder="1" applyAlignment="1">
      <alignment horizontal="left" vertical="top"/>
      <protection locked="0"/>
    </xf>
    <xf numFmtId="169" fontId="84" fillId="0" borderId="0" xfId="28" applyNumberFormat="1" applyFont="1" applyAlignment="1">
      <alignment horizontal="left" vertical="top"/>
      <protection locked="0"/>
    </xf>
    <xf numFmtId="0" fontId="82" fillId="0" borderId="0" xfId="28" applyFont="1" applyAlignment="1">
      <alignment horizontal="left" vertical="top"/>
      <protection locked="0"/>
    </xf>
    <xf numFmtId="0" fontId="82" fillId="0" borderId="0" xfId="28" applyFont="1" applyAlignment="1" applyProtection="1"/>
    <xf numFmtId="0" fontId="84" fillId="0" borderId="0" xfId="28" applyFont="1" applyAlignment="1">
      <alignment horizontal="left" vertical="top"/>
      <protection locked="0"/>
    </xf>
    <xf numFmtId="49" fontId="74" fillId="0" borderId="30" xfId="28" applyNumberFormat="1" applyFont="1" applyBorder="1" applyAlignment="1">
      <alignment horizontal="right"/>
      <protection locked="0"/>
    </xf>
    <xf numFmtId="0" fontId="74" fillId="0" borderId="30" xfId="28" applyFont="1" applyBorder="1" applyAlignment="1">
      <alignment horizontal="left" wrapText="1"/>
      <protection locked="0"/>
    </xf>
    <xf numFmtId="167" fontId="30" fillId="0" borderId="30" xfId="28" applyNumberFormat="1" applyFont="1" applyBorder="1" applyAlignment="1">
      <alignment horizontal="right"/>
      <protection locked="0"/>
    </xf>
    <xf numFmtId="4" fontId="30" fillId="5" borderId="30" xfId="28" applyNumberFormat="1" applyFont="1" applyFill="1" applyBorder="1" applyAlignment="1">
      <alignment horizontal="right"/>
      <protection locked="0"/>
    </xf>
    <xf numFmtId="49" fontId="30" fillId="0" borderId="30" xfId="28" applyNumberFormat="1" applyFont="1" applyBorder="1" applyAlignment="1">
      <alignment horizontal="right"/>
      <protection locked="0"/>
    </xf>
    <xf numFmtId="0" fontId="90" fillId="0" borderId="0" xfId="33" applyFont="1" applyFill="1" applyAlignment="1" applyProtection="1">
      <alignment vertical="center"/>
    </xf>
    <xf numFmtId="39" fontId="10" fillId="0" borderId="30" xfId="25" applyNumberFormat="1" applyFont="1" applyBorder="1" applyAlignment="1" applyProtection="1">
      <alignment horizontal="right"/>
      <protection locked="0"/>
    </xf>
    <xf numFmtId="0" fontId="91" fillId="0" borderId="0" xfId="34" applyFont="1" applyAlignment="1" applyProtection="1">
      <alignment horizontal="left" vertical="top"/>
      <protection locked="0"/>
    </xf>
    <xf numFmtId="169" fontId="30" fillId="0" borderId="30" xfId="32" applyNumberFormat="1" applyFont="1" applyBorder="1" applyAlignment="1" applyProtection="1">
      <alignment horizontal="right"/>
      <protection locked="0"/>
    </xf>
    <xf numFmtId="0" fontId="9" fillId="0" borderId="0" xfId="25" applyAlignment="1">
      <alignment horizontal="left" vertical="center"/>
    </xf>
    <xf numFmtId="0" fontId="12" fillId="0" borderId="0" xfId="3" applyAlignment="1">
      <alignment horizontal="left"/>
    </xf>
    <xf numFmtId="169" fontId="30" fillId="0" borderId="30" xfId="25" applyNumberFormat="1" applyFont="1" applyBorder="1" applyAlignment="1" applyProtection="1">
      <alignment horizontal="right"/>
      <protection locked="0"/>
    </xf>
    <xf numFmtId="0" fontId="28" fillId="0" borderId="0" xfId="34" applyFont="1" applyAlignment="1" applyProtection="1">
      <alignment horizontal="left" vertical="top"/>
      <protection locked="0"/>
    </xf>
    <xf numFmtId="0" fontId="12" fillId="0" borderId="0" xfId="3" applyAlignment="1">
      <alignment horizontal="right"/>
    </xf>
    <xf numFmtId="169" fontId="30" fillId="0" borderId="30" xfId="34" applyNumberFormat="1" applyFont="1" applyBorder="1" applyAlignment="1" applyProtection="1">
      <alignment horizontal="right"/>
      <protection locked="0"/>
    </xf>
    <xf numFmtId="169" fontId="39" fillId="0" borderId="30" xfId="3" applyNumberFormat="1" applyFont="1" applyBorder="1" applyAlignment="1" applyProtection="1">
      <alignment horizontal="right"/>
      <protection locked="0"/>
    </xf>
    <xf numFmtId="0" fontId="30" fillId="0" borderId="30" xfId="40" applyFont="1" applyBorder="1" applyAlignment="1">
      <alignment horizontal="left" wrapText="1"/>
      <protection locked="0"/>
    </xf>
    <xf numFmtId="49" fontId="10" fillId="0" borderId="30" xfId="3" applyNumberFormat="1" applyFont="1" applyBorder="1" applyAlignment="1" applyProtection="1">
      <alignment horizontal="right" wrapText="1"/>
      <protection locked="0"/>
    </xf>
    <xf numFmtId="49" fontId="10" fillId="0" borderId="30" xfId="3" applyNumberFormat="1" applyFont="1" applyBorder="1" applyAlignment="1" applyProtection="1">
      <alignment horizontal="left" wrapText="1"/>
      <protection locked="0"/>
    </xf>
    <xf numFmtId="0" fontId="93" fillId="0" borderId="0" xfId="41" applyFont="1" applyFill="1" applyBorder="1" applyAlignment="1" applyProtection="1">
      <alignment horizontal="left"/>
      <protection locked="0"/>
    </xf>
    <xf numFmtId="0" fontId="94" fillId="0" borderId="0" xfId="3" applyFont="1" applyAlignment="1" applyProtection="1">
      <alignment vertical="top"/>
      <protection locked="0"/>
    </xf>
    <xf numFmtId="0" fontId="94" fillId="0" borderId="0" xfId="3" applyFont="1" applyAlignment="1" applyProtection="1">
      <alignment vertical="top" wrapText="1"/>
      <protection locked="0"/>
    </xf>
    <xf numFmtId="0" fontId="30" fillId="0" borderId="0" xfId="3" applyFont="1" applyAlignment="1" applyProtection="1">
      <alignment horizontal="left" wrapText="1"/>
      <protection locked="0"/>
    </xf>
    <xf numFmtId="0" fontId="10" fillId="0" borderId="0" xfId="3" applyFont="1" applyAlignment="1" applyProtection="1">
      <alignment horizontal="left" wrapText="1"/>
      <protection locked="0"/>
    </xf>
    <xf numFmtId="2" fontId="10" fillId="0" borderId="0" xfId="3" applyNumberFormat="1" applyFont="1" applyAlignment="1" applyProtection="1">
      <alignment horizontal="right"/>
      <protection locked="0"/>
    </xf>
    <xf numFmtId="39" fontId="10" fillId="0" borderId="0" xfId="3" applyNumberFormat="1" applyFont="1" applyAlignment="1" applyProtection="1">
      <alignment horizontal="right"/>
      <protection locked="0"/>
    </xf>
    <xf numFmtId="39" fontId="10" fillId="0" borderId="0" xfId="3" applyNumberFormat="1" applyFont="1" applyAlignment="1" applyProtection="1">
      <alignment horizontal="center"/>
      <protection locked="0"/>
    </xf>
    <xf numFmtId="0" fontId="95" fillId="0" borderId="0" xfId="3" applyFont="1" applyAlignment="1" applyProtection="1">
      <alignment horizontal="left" vertical="center" textRotation="90" wrapText="1"/>
      <protection locked="0"/>
    </xf>
    <xf numFmtId="49" fontId="87" fillId="0" borderId="30" xfId="3" applyNumberFormat="1" applyFont="1" applyBorder="1" applyAlignment="1" applyProtection="1">
      <alignment horizontal="right"/>
      <protection locked="0"/>
    </xf>
    <xf numFmtId="49" fontId="87" fillId="0" borderId="30" xfId="3" applyNumberFormat="1" applyFont="1" applyBorder="1" applyAlignment="1" applyProtection="1">
      <alignment horizontal="left" wrapText="1"/>
      <protection locked="0"/>
    </xf>
    <xf numFmtId="0" fontId="87" fillId="0" borderId="30" xfId="3" applyFont="1" applyBorder="1" applyAlignment="1" applyProtection="1">
      <alignment horizontal="left" wrapText="1"/>
      <protection locked="0"/>
    </xf>
    <xf numFmtId="167" fontId="68" fillId="0" borderId="30" xfId="3" applyNumberFormat="1" applyFont="1" applyBorder="1" applyAlignment="1" applyProtection="1">
      <alignment horizontal="right"/>
      <protection locked="0"/>
    </xf>
    <xf numFmtId="4" fontId="10" fillId="0" borderId="30" xfId="3" applyNumberFormat="1" applyFont="1" applyBorder="1" applyAlignment="1" applyProtection="1">
      <alignment horizontal="right"/>
      <protection locked="0"/>
    </xf>
    <xf numFmtId="0" fontId="96" fillId="0" borderId="30" xfId="3" applyFont="1" applyBorder="1" applyAlignment="1" applyProtection="1">
      <alignment horizontal="right" vertical="center"/>
      <protection locked="0"/>
    </xf>
    <xf numFmtId="0" fontId="97" fillId="0" borderId="0" xfId="3" applyFont="1" applyAlignment="1" applyProtection="1">
      <alignment horizontal="left" vertical="center"/>
      <protection locked="0"/>
    </xf>
    <xf numFmtId="49" fontId="74" fillId="0" borderId="30" xfId="3" applyNumberFormat="1" applyFont="1" applyBorder="1" applyAlignment="1" applyProtection="1">
      <alignment horizontal="right"/>
      <protection locked="0"/>
    </xf>
    <xf numFmtId="4" fontId="74" fillId="5" borderId="30" xfId="3" applyNumberFormat="1" applyFont="1" applyFill="1" applyBorder="1" applyAlignment="1" applyProtection="1">
      <alignment horizontal="right"/>
      <protection locked="0"/>
    </xf>
    <xf numFmtId="0" fontId="13" fillId="0" borderId="0" xfId="3" applyFont="1" applyAlignment="1" applyProtection="1">
      <alignment horizontal="right" vertical="center"/>
      <protection locked="0"/>
    </xf>
    <xf numFmtId="0" fontId="13" fillId="0" borderId="0" xfId="3" applyFont="1" applyAlignment="1" applyProtection="1">
      <alignment horizontal="left" vertical="center"/>
      <protection locked="0"/>
    </xf>
    <xf numFmtId="0" fontId="10" fillId="0" borderId="0" xfId="3" applyFont="1" applyAlignment="1" applyProtection="1">
      <alignment horizontal="left" vertical="center" wrapText="1"/>
      <protection locked="0"/>
    </xf>
    <xf numFmtId="2" fontId="10" fillId="0" borderId="0" xfId="3" applyNumberFormat="1" applyFont="1" applyAlignment="1" applyProtection="1">
      <alignment horizontal="right" vertical="center"/>
      <protection locked="0"/>
    </xf>
    <xf numFmtId="49" fontId="87" fillId="0" borderId="30" xfId="25" applyNumberFormat="1" applyFont="1" applyBorder="1" applyAlignment="1" applyProtection="1">
      <alignment horizontal="left" wrapText="1"/>
      <protection locked="0"/>
    </xf>
    <xf numFmtId="2" fontId="74" fillId="5" borderId="30" xfId="25" applyNumberFormat="1" applyFont="1" applyFill="1" applyBorder="1" applyAlignment="1" applyProtection="1">
      <alignment horizontal="right"/>
      <protection locked="0"/>
    </xf>
    <xf numFmtId="0" fontId="13" fillId="0" borderId="0" xfId="25" applyFont="1" applyAlignment="1" applyProtection="1">
      <alignment horizontal="right" vertical="center"/>
      <protection locked="0"/>
    </xf>
    <xf numFmtId="0" fontId="13" fillId="0" borderId="0" xfId="25" applyFont="1" applyAlignment="1" applyProtection="1">
      <alignment horizontal="left" vertical="center"/>
      <protection locked="0"/>
    </xf>
    <xf numFmtId="37" fontId="10" fillId="0" borderId="0" xfId="25" applyNumberFormat="1" applyFont="1" applyAlignment="1" applyProtection="1">
      <alignment horizontal="right" vertical="center"/>
      <protection locked="0"/>
    </xf>
    <xf numFmtId="0" fontId="10" fillId="0" borderId="0" xfId="25" applyFont="1" applyAlignment="1" applyProtection="1">
      <alignment horizontal="left" vertical="center" wrapText="1"/>
      <protection locked="0"/>
    </xf>
    <xf numFmtId="0" fontId="30" fillId="0" borderId="0" xfId="25" applyFont="1" applyAlignment="1" applyProtection="1">
      <alignment horizontal="left" vertical="center" wrapText="1"/>
      <protection locked="0"/>
    </xf>
    <xf numFmtId="0" fontId="13" fillId="0" borderId="0" xfId="42" applyFont="1" applyAlignment="1" applyProtection="1">
      <alignment horizontal="left" vertical="top"/>
      <protection locked="0"/>
    </xf>
    <xf numFmtId="0" fontId="62" fillId="0" borderId="0" xfId="25" applyFont="1" applyAlignment="1" applyProtection="1">
      <alignment horizontal="right" vertical="center"/>
      <protection locked="0"/>
    </xf>
    <xf numFmtId="0" fontId="10" fillId="0" borderId="0" xfId="3" applyFont="1" applyAlignment="1" applyProtection="1">
      <alignment horizontal="left" vertical="center"/>
      <protection locked="0"/>
    </xf>
    <xf numFmtId="0" fontId="98" fillId="0" borderId="30" xfId="3" applyFont="1" applyBorder="1" applyAlignment="1" applyProtection="1">
      <alignment horizontal="left" wrapText="1"/>
      <protection locked="0"/>
    </xf>
    <xf numFmtId="4" fontId="98" fillId="0" borderId="30" xfId="3" applyNumberFormat="1" applyFont="1" applyBorder="1" applyAlignment="1" applyProtection="1">
      <alignment horizontal="right"/>
      <protection locked="0"/>
    </xf>
    <xf numFmtId="0" fontId="12" fillId="0" borderId="30" xfId="3" applyBorder="1" applyAlignment="1" applyProtection="1">
      <alignment horizontal="left" vertical="top"/>
      <protection locked="0"/>
    </xf>
    <xf numFmtId="0" fontId="99" fillId="0" borderId="0" xfId="3" applyFont="1" applyAlignment="1" applyProtection="1">
      <alignment horizontal="left" vertical="center"/>
      <protection locked="0"/>
    </xf>
    <xf numFmtId="0" fontId="99" fillId="0" borderId="0" xfId="3" applyFont="1" applyAlignment="1" applyProtection="1">
      <alignment horizontal="center" vertical="center"/>
      <protection locked="0"/>
    </xf>
    <xf numFmtId="0" fontId="30" fillId="0" borderId="30" xfId="43" applyFont="1" applyBorder="1" applyAlignment="1" applyProtection="1">
      <alignment horizontal="left" wrapText="1"/>
      <protection locked="0"/>
    </xf>
    <xf numFmtId="4" fontId="56" fillId="0" borderId="30" xfId="3" applyNumberFormat="1" applyFont="1" applyBorder="1" applyAlignment="1" applyProtection="1">
      <alignment horizontal="right"/>
      <protection locked="0"/>
    </xf>
    <xf numFmtId="39" fontId="85" fillId="0" borderId="0" xfId="3" applyNumberFormat="1" applyFont="1" applyAlignment="1" applyProtection="1">
      <alignment horizontal="left" vertical="center"/>
      <protection locked="0"/>
    </xf>
    <xf numFmtId="0" fontId="66" fillId="0" borderId="0" xfId="3" applyFont="1" applyAlignment="1" applyProtection="1">
      <alignment horizontal="right" vertical="top"/>
      <protection locked="0"/>
    </xf>
    <xf numFmtId="37" fontId="10" fillId="0" borderId="0" xfId="3" applyNumberFormat="1" applyFont="1" applyAlignment="1" applyProtection="1">
      <alignment horizontal="right"/>
      <protection locked="0"/>
    </xf>
    <xf numFmtId="0" fontId="59" fillId="0" borderId="30" xfId="3" applyFont="1" applyBorder="1" applyAlignment="1" applyProtection="1">
      <alignment horizontal="left" wrapText="1"/>
      <protection locked="0"/>
    </xf>
    <xf numFmtId="167" fontId="59" fillId="0" borderId="30" xfId="3" applyNumberFormat="1" applyFont="1" applyBorder="1" applyAlignment="1" applyProtection="1">
      <alignment horizontal="right"/>
      <protection locked="0"/>
    </xf>
    <xf numFmtId="0" fontId="73" fillId="0" borderId="0" xfId="32" applyFont="1" applyAlignment="1" applyProtection="1">
      <alignment horizontal="left" vertical="center"/>
      <protection locked="0"/>
    </xf>
    <xf numFmtId="0" fontId="53" fillId="0" borderId="0" xfId="32" applyAlignment="1" applyProtection="1">
      <alignment horizontal="left" vertical="center"/>
      <protection locked="0"/>
    </xf>
    <xf numFmtId="0" fontId="9" fillId="0" borderId="0" xfId="25" applyAlignment="1" applyProtection="1">
      <alignment horizontal="left" vertical="center"/>
      <protection locked="0"/>
    </xf>
    <xf numFmtId="0" fontId="30" fillId="0" borderId="30" xfId="44" applyFont="1" applyBorder="1" applyAlignment="1">
      <alignment horizontal="left" wrapText="1"/>
      <protection locked="0"/>
    </xf>
    <xf numFmtId="49" fontId="10" fillId="0" borderId="30" xfId="43" applyNumberFormat="1" applyFont="1" applyBorder="1" applyAlignment="1" applyProtection="1">
      <alignment horizontal="right" wrapText="1"/>
      <protection locked="0"/>
    </xf>
    <xf numFmtId="49" fontId="10" fillId="0" borderId="30" xfId="43" applyNumberFormat="1" applyFont="1" applyBorder="1" applyAlignment="1" applyProtection="1">
      <alignment horizontal="left" wrapText="1"/>
      <protection locked="0"/>
    </xf>
    <xf numFmtId="39" fontId="10" fillId="0" borderId="30" xfId="43" applyNumberFormat="1" applyFont="1" applyBorder="1" applyAlignment="1" applyProtection="1">
      <alignment horizontal="right"/>
      <protection locked="0"/>
    </xf>
    <xf numFmtId="39" fontId="10" fillId="0" borderId="30" xfId="43" applyNumberFormat="1" applyFont="1" applyBorder="1" applyAlignment="1" applyProtection="1">
      <alignment horizontal="center"/>
      <protection locked="0"/>
    </xf>
    <xf numFmtId="0" fontId="100" fillId="0" borderId="0" xfId="28" applyFont="1" applyAlignment="1">
      <alignment horizontal="left" vertical="center"/>
      <protection locked="0"/>
    </xf>
    <xf numFmtId="49" fontId="9" fillId="0" borderId="30" xfId="43" applyNumberFormat="1" applyBorder="1" applyAlignment="1" applyProtection="1">
      <alignment vertical="top"/>
      <protection locked="0"/>
    </xf>
    <xf numFmtId="0" fontId="9" fillId="0" borderId="30" xfId="43" applyBorder="1" applyAlignment="1" applyProtection="1">
      <alignment vertical="top"/>
      <protection locked="0"/>
    </xf>
    <xf numFmtId="167" fontId="30" fillId="0" borderId="30" xfId="43" applyNumberFormat="1" applyFont="1" applyBorder="1" applyAlignment="1" applyProtection="1">
      <alignment horizontal="right"/>
      <protection locked="0"/>
    </xf>
    <xf numFmtId="0" fontId="96" fillId="0" borderId="30" xfId="43" applyFont="1" applyBorder="1" applyAlignment="1" applyProtection="1">
      <alignment horizontal="right" vertical="center"/>
      <protection locked="0"/>
    </xf>
    <xf numFmtId="0" fontId="80" fillId="0" borderId="0" xfId="28" applyFont="1" applyAlignment="1">
      <alignment horizontal="left" vertical="center"/>
      <protection locked="0"/>
    </xf>
    <xf numFmtId="49" fontId="56" fillId="0" borderId="30" xfId="40" applyNumberFormat="1" applyFont="1" applyBorder="1" applyAlignment="1">
      <alignment horizontal="right" vertical="center"/>
      <protection locked="0"/>
    </xf>
    <xf numFmtId="0" fontId="56" fillId="0" borderId="30" xfId="40" applyFont="1" applyBorder="1" applyAlignment="1">
      <alignment horizontal="left" vertical="center" wrapText="1"/>
      <protection locked="0"/>
    </xf>
    <xf numFmtId="0" fontId="30" fillId="0" borderId="30" xfId="43" applyFont="1" applyBorder="1" applyAlignment="1" applyProtection="1">
      <alignment horizontal="left" vertical="center" wrapText="1"/>
      <protection locked="0"/>
    </xf>
    <xf numFmtId="0" fontId="10" fillId="0" borderId="30" xfId="28" applyFont="1" applyBorder="1" applyAlignment="1">
      <alignment horizontal="left" vertical="center" wrapText="1"/>
      <protection locked="0"/>
    </xf>
    <xf numFmtId="167" fontId="101" fillId="0" borderId="30" xfId="43" applyNumberFormat="1" applyFont="1" applyBorder="1" applyAlignment="1" applyProtection="1">
      <alignment horizontal="right" vertical="center" wrapText="1"/>
      <protection locked="0"/>
    </xf>
    <xf numFmtId="39" fontId="68" fillId="0" borderId="30" xfId="43" applyNumberFormat="1" applyFont="1" applyBorder="1" applyAlignment="1" applyProtection="1">
      <alignment horizontal="right" vertical="center"/>
      <protection locked="0"/>
    </xf>
    <xf numFmtId="0" fontId="9" fillId="0" borderId="30" xfId="43" applyBorder="1" applyAlignment="1" applyProtection="1">
      <alignment horizontal="left" vertical="center"/>
      <protection locked="0"/>
    </xf>
    <xf numFmtId="0" fontId="9" fillId="0" borderId="0" xfId="43" applyAlignment="1" applyProtection="1">
      <alignment vertical="center"/>
      <protection locked="0"/>
    </xf>
    <xf numFmtId="167" fontId="101" fillId="0" borderId="30" xfId="43" applyNumberFormat="1" applyFont="1" applyBorder="1" applyAlignment="1" applyProtection="1">
      <alignment horizontal="right" wrapText="1"/>
      <protection locked="0"/>
    </xf>
    <xf numFmtId="39" fontId="68" fillId="0" borderId="30" xfId="43" applyNumberFormat="1" applyFont="1" applyBorder="1" applyAlignment="1" applyProtection="1">
      <alignment horizontal="right"/>
      <protection locked="0"/>
    </xf>
    <xf numFmtId="0" fontId="9" fillId="0" borderId="30" xfId="43" applyBorder="1" applyAlignment="1" applyProtection="1">
      <alignment horizontal="left" vertical="top"/>
      <protection locked="0"/>
    </xf>
    <xf numFmtId="0" fontId="9" fillId="0" borderId="0" xfId="43" applyAlignment="1" applyProtection="1">
      <alignment vertical="top"/>
      <protection locked="0"/>
    </xf>
    <xf numFmtId="169" fontId="81" fillId="0" borderId="30" xfId="3" applyNumberFormat="1" applyFont="1" applyBorder="1" applyAlignment="1" applyProtection="1">
      <alignment horizontal="right"/>
      <protection locked="0"/>
    </xf>
    <xf numFmtId="169" fontId="30" fillId="0" borderId="30" xfId="28" applyNumberFormat="1" applyFont="1" applyBorder="1" applyAlignment="1">
      <alignment horizontal="right" wrapText="1"/>
      <protection locked="0"/>
    </xf>
    <xf numFmtId="169" fontId="30" fillId="0" borderId="30" xfId="28" applyNumberFormat="1" applyFont="1" applyBorder="1" applyAlignment="1">
      <alignment horizontal="right"/>
      <protection locked="0"/>
    </xf>
    <xf numFmtId="169" fontId="30" fillId="0" borderId="30" xfId="38" applyNumberFormat="1" applyFont="1" applyBorder="1" applyAlignment="1" applyProtection="1">
      <alignment horizontal="right"/>
      <protection locked="0"/>
    </xf>
    <xf numFmtId="169" fontId="30" fillId="0" borderId="30" xfId="39" applyNumberFormat="1" applyFont="1" applyBorder="1" applyAlignment="1">
      <alignment horizontal="right" wrapText="1"/>
      <protection locked="0"/>
    </xf>
    <xf numFmtId="0" fontId="10" fillId="0" borderId="30" xfId="32" applyFont="1" applyBorder="1" applyAlignment="1" applyProtection="1">
      <alignment horizontal="left" wrapText="1"/>
      <protection locked="0"/>
    </xf>
    <xf numFmtId="0" fontId="13" fillId="0" borderId="0" xfId="28" applyAlignment="1">
      <protection locked="0"/>
    </xf>
    <xf numFmtId="49" fontId="68" fillId="0" borderId="30" xfId="45" applyNumberFormat="1" applyFont="1" applyBorder="1" applyAlignment="1">
      <alignment horizontal="right"/>
      <protection locked="0"/>
    </xf>
    <xf numFmtId="49" fontId="68" fillId="0" borderId="30" xfId="45" applyNumberFormat="1" applyFont="1" applyBorder="1" applyAlignment="1">
      <alignment horizontal="left" wrapText="1"/>
      <protection locked="0"/>
    </xf>
    <xf numFmtId="0" fontId="68" fillId="0" borderId="30" xfId="45" applyFont="1" applyBorder="1" applyAlignment="1">
      <alignment horizontal="left" wrapText="1"/>
      <protection locked="0"/>
    </xf>
    <xf numFmtId="0" fontId="30" fillId="0" borderId="30" xfId="45" applyFont="1" applyBorder="1" applyAlignment="1">
      <alignment horizontal="left" wrapText="1"/>
      <protection locked="0"/>
    </xf>
    <xf numFmtId="167" fontId="30" fillId="0" borderId="30" xfId="45" applyNumberFormat="1" applyFont="1" applyBorder="1" applyAlignment="1">
      <alignment horizontal="right" wrapText="1"/>
      <protection locked="0"/>
    </xf>
    <xf numFmtId="4" fontId="68" fillId="7" borderId="30" xfId="45" applyNumberFormat="1" applyFont="1" applyFill="1" applyBorder="1" applyAlignment="1">
      <alignment horizontal="right"/>
      <protection locked="0"/>
    </xf>
    <xf numFmtId="0" fontId="13" fillId="0" borderId="30" xfId="45" applyFont="1" applyBorder="1" applyAlignment="1">
      <alignment horizontal="center" vertical="center"/>
      <protection locked="0"/>
    </xf>
    <xf numFmtId="0" fontId="33" fillId="0" borderId="0" xfId="45" applyAlignment="1">
      <alignment vertical="top"/>
      <protection locked="0"/>
    </xf>
    <xf numFmtId="0" fontId="33" fillId="0" borderId="0" xfId="45" applyAlignment="1">
      <alignment horizontal="left" vertical="top"/>
      <protection locked="0"/>
    </xf>
    <xf numFmtId="2" fontId="33" fillId="0" borderId="0" xfId="45" applyNumberFormat="1" applyAlignment="1">
      <alignment horizontal="left" vertical="top"/>
      <protection locked="0"/>
    </xf>
    <xf numFmtId="167" fontId="101" fillId="0" borderId="30" xfId="28" applyNumberFormat="1" applyFont="1" applyBorder="1" applyAlignment="1">
      <alignment horizontal="right" wrapText="1"/>
      <protection locked="0"/>
    </xf>
    <xf numFmtId="0" fontId="13" fillId="0" borderId="0" xfId="26" applyFont="1" applyAlignment="1" applyProtection="1">
      <alignment horizontal="left" vertical="center"/>
      <protection locked="0"/>
    </xf>
    <xf numFmtId="4" fontId="30" fillId="5" borderId="30" xfId="45" applyNumberFormat="1" applyFont="1" applyFill="1" applyBorder="1" applyAlignment="1">
      <alignment horizontal="right"/>
      <protection locked="0"/>
    </xf>
    <xf numFmtId="0" fontId="13" fillId="0" borderId="0" xfId="28" applyAlignment="1">
      <alignment vertical="center"/>
      <protection locked="0"/>
    </xf>
    <xf numFmtId="4" fontId="30" fillId="5" borderId="30" xfId="35" applyNumberFormat="1" applyFont="1" applyFill="1" applyBorder="1" applyAlignment="1">
      <alignment horizontal="right"/>
      <protection locked="0"/>
    </xf>
    <xf numFmtId="4" fontId="68" fillId="0" borderId="30" xfId="28" applyNumberFormat="1" applyFont="1" applyBorder="1" applyAlignment="1">
      <alignment horizontal="right"/>
      <protection locked="0"/>
    </xf>
    <xf numFmtId="2" fontId="13" fillId="0" borderId="30" xfId="28" applyNumberFormat="1" applyBorder="1" applyAlignment="1">
      <alignment horizontal="left" vertical="top"/>
      <protection locked="0"/>
    </xf>
    <xf numFmtId="2" fontId="80" fillId="0" borderId="0" xfId="28" applyNumberFormat="1" applyFont="1" applyAlignment="1">
      <alignment vertical="center"/>
      <protection locked="0"/>
    </xf>
    <xf numFmtId="2" fontId="13" fillId="0" borderId="0" xfId="28" applyNumberFormat="1" applyAlignment="1">
      <alignment horizontal="left" vertical="center"/>
      <protection locked="0"/>
    </xf>
    <xf numFmtId="2" fontId="13" fillId="0" borderId="0" xfId="28" applyNumberFormat="1" applyAlignment="1">
      <alignment horizontal="left" vertical="top"/>
      <protection locked="0"/>
    </xf>
    <xf numFmtId="4" fontId="68" fillId="7" borderId="30" xfId="28" applyNumberFormat="1" applyFont="1" applyFill="1" applyBorder="1" applyAlignment="1">
      <alignment horizontal="right"/>
      <protection locked="0"/>
    </xf>
    <xf numFmtId="4" fontId="30" fillId="5" borderId="30" xfId="43" applyNumberFormat="1" applyFont="1" applyFill="1" applyBorder="1" applyAlignment="1" applyProtection="1">
      <alignment horizontal="right"/>
      <protection locked="0"/>
    </xf>
    <xf numFmtId="2" fontId="13" fillId="0" borderId="0" xfId="28" applyNumberFormat="1" applyAlignment="1">
      <alignment vertical="top"/>
      <protection locked="0"/>
    </xf>
    <xf numFmtId="0" fontId="84" fillId="0" borderId="30" xfId="28" applyFont="1" applyBorder="1" applyAlignment="1">
      <alignment horizontal="right" vertical="center"/>
      <protection locked="0"/>
    </xf>
    <xf numFmtId="2" fontId="13" fillId="0" borderId="30" xfId="28" applyNumberFormat="1" applyBorder="1" applyAlignment="1">
      <alignment horizontal="right" vertical="center"/>
      <protection locked="0"/>
    </xf>
    <xf numFmtId="0" fontId="102" fillId="0" borderId="0" xfId="28" applyFont="1" applyAlignment="1">
      <alignment horizontal="left" vertical="center"/>
      <protection locked="0"/>
    </xf>
    <xf numFmtId="0" fontId="34" fillId="0" borderId="0" xfId="25" applyFont="1" applyAlignment="1">
      <alignment vertical="center"/>
    </xf>
    <xf numFmtId="0" fontId="62" fillId="0" borderId="0" xfId="28" applyFont="1" applyAlignment="1">
      <alignment horizontal="left" vertical="top"/>
      <protection locked="0"/>
    </xf>
    <xf numFmtId="0" fontId="103" fillId="0" borderId="0" xfId="28" applyFont="1" applyAlignment="1">
      <alignment horizontal="left" vertical="top"/>
      <protection locked="0"/>
    </xf>
    <xf numFmtId="0" fontId="25" fillId="0" borderId="0" xfId="34" applyAlignment="1">
      <alignment vertical="center"/>
    </xf>
    <xf numFmtId="0" fontId="37" fillId="0" borderId="0" xfId="12" applyFont="1" applyAlignment="1" applyProtection="1">
      <alignment horizontal="left"/>
    </xf>
    <xf numFmtId="0" fontId="13" fillId="0" borderId="0" xfId="25" applyFont="1" applyAlignment="1" applyProtection="1">
      <alignment horizontal="left" vertical="top"/>
      <protection locked="0"/>
    </xf>
    <xf numFmtId="0" fontId="92" fillId="0" borderId="0" xfId="41" applyFill="1"/>
    <xf numFmtId="0" fontId="33" fillId="0" borderId="0" xfId="46" applyAlignment="1">
      <alignment vertical="top"/>
      <protection locked="0"/>
    </xf>
    <xf numFmtId="0" fontId="38" fillId="0" borderId="0" xfId="29" applyFont="1" applyAlignment="1">
      <alignment horizontal="left"/>
    </xf>
    <xf numFmtId="0" fontId="45" fillId="0" borderId="0" xfId="29" applyFont="1" applyAlignment="1">
      <alignment horizontal="left"/>
    </xf>
    <xf numFmtId="0" fontId="38" fillId="0" borderId="0" xfId="29" applyFont="1" applyAlignment="1">
      <alignment horizontal="center"/>
    </xf>
    <xf numFmtId="0" fontId="46" fillId="0" borderId="0" xfId="29" applyFont="1" applyAlignment="1">
      <alignment horizontal="right" vertical="top"/>
    </xf>
    <xf numFmtId="0" fontId="47" fillId="0" borderId="31" xfId="29" applyFont="1" applyBorder="1" applyAlignment="1">
      <alignment horizontal="center" vertical="center" wrapText="1"/>
    </xf>
    <xf numFmtId="0" fontId="47" fillId="0" borderId="12" xfId="29" applyFont="1" applyBorder="1" applyAlignment="1">
      <alignment horizontal="center" vertical="center" wrapText="1"/>
    </xf>
    <xf numFmtId="37" fontId="10" fillId="7" borderId="37" xfId="29" applyNumberFormat="1" applyFont="1" applyFill="1" applyBorder="1" applyAlignment="1" applyProtection="1">
      <alignment horizontal="right"/>
      <protection locked="0"/>
    </xf>
    <xf numFmtId="0" fontId="39" fillId="0" borderId="0" xfId="3" applyFont="1" applyAlignment="1" applyProtection="1">
      <alignment horizontal="left" wrapText="1"/>
      <protection locked="0"/>
    </xf>
    <xf numFmtId="0" fontId="39" fillId="7" borderId="37" xfId="29" applyFont="1" applyFill="1" applyBorder="1" applyAlignment="1" applyProtection="1">
      <alignment horizontal="left" wrapText="1"/>
      <protection locked="0"/>
    </xf>
    <xf numFmtId="2" fontId="39" fillId="0" borderId="37" xfId="29" applyNumberFormat="1" applyFont="1" applyBorder="1" applyAlignment="1" applyProtection="1">
      <alignment horizontal="right"/>
      <protection locked="0"/>
    </xf>
    <xf numFmtId="39" fontId="39" fillId="0" borderId="37" xfId="29" applyNumberFormat="1" applyFont="1" applyBorder="1" applyAlignment="1" applyProtection="1">
      <alignment horizontal="right"/>
      <protection locked="0"/>
    </xf>
    <xf numFmtId="39" fontId="50" fillId="7" borderId="37" xfId="29" applyNumberFormat="1" applyFont="1" applyFill="1" applyBorder="1" applyAlignment="1" applyProtection="1">
      <alignment horizontal="center"/>
      <protection locked="0"/>
    </xf>
    <xf numFmtId="0" fontId="39" fillId="7" borderId="30" xfId="3" applyFont="1" applyFill="1" applyBorder="1" applyAlignment="1">
      <alignment horizontal="left" wrapText="1"/>
    </xf>
    <xf numFmtId="0" fontId="12" fillId="0" borderId="0" xfId="3" applyAlignment="1" applyProtection="1">
      <alignment vertical="top"/>
      <protection locked="0"/>
    </xf>
    <xf numFmtId="49" fontId="10" fillId="0" borderId="30" xfId="27" applyNumberFormat="1" applyFont="1" applyBorder="1" applyAlignment="1">
      <alignment horizontal="right"/>
      <protection locked="0"/>
    </xf>
    <xf numFmtId="0" fontId="10" fillId="0" borderId="30" xfId="38" applyFont="1" applyBorder="1" applyAlignment="1" applyProtection="1">
      <alignment horizontal="left" wrapText="1"/>
      <protection locked="0"/>
    </xf>
    <xf numFmtId="0" fontId="10" fillId="0" borderId="30" xfId="27" applyFont="1" applyBorder="1" applyAlignment="1">
      <alignment horizontal="left" wrapText="1"/>
      <protection locked="0"/>
    </xf>
    <xf numFmtId="167" fontId="10" fillId="0" borderId="30" xfId="27" applyNumberFormat="1" applyFont="1" applyBorder="1" applyAlignment="1">
      <alignment horizontal="right" wrapText="1"/>
      <protection locked="0"/>
    </xf>
    <xf numFmtId="4" fontId="10" fillId="0" borderId="30" xfId="27" applyNumberFormat="1" applyFont="1" applyBorder="1" applyAlignment="1">
      <alignment horizontal="right"/>
      <protection locked="0"/>
    </xf>
    <xf numFmtId="0" fontId="71" fillId="0" borderId="0" xfId="41" applyFont="1" applyFill="1" applyAlignment="1" applyProtection="1">
      <alignment vertical="center"/>
    </xf>
    <xf numFmtId="49" fontId="10" fillId="0" borderId="30" xfId="38" applyNumberFormat="1" applyFont="1" applyBorder="1" applyAlignment="1" applyProtection="1">
      <alignment horizontal="right"/>
      <protection locked="0"/>
    </xf>
    <xf numFmtId="4" fontId="10" fillId="0" borderId="30" xfId="38" applyNumberFormat="1" applyFont="1" applyBorder="1" applyAlignment="1" applyProtection="1">
      <alignment horizontal="right"/>
      <protection locked="0"/>
    </xf>
    <xf numFmtId="49" fontId="10" fillId="0" borderId="30" xfId="3" applyNumberFormat="1" applyFont="1" applyBorder="1" applyAlignment="1">
      <alignment horizontal="right"/>
    </xf>
    <xf numFmtId="167" fontId="10" fillId="0" borderId="30" xfId="47" applyNumberFormat="1" applyFont="1" applyBorder="1" applyAlignment="1">
      <alignment horizontal="right"/>
      <protection locked="0"/>
    </xf>
    <xf numFmtId="4" fontId="10" fillId="0" borderId="30" xfId="3" applyNumberFormat="1" applyFont="1" applyBorder="1" applyAlignment="1">
      <alignment horizontal="right"/>
    </xf>
    <xf numFmtId="0" fontId="12" fillId="7" borderId="0" xfId="3" applyFill="1" applyAlignment="1" applyProtection="1">
      <alignment horizontal="left" vertical="top"/>
      <protection locked="0"/>
    </xf>
    <xf numFmtId="0" fontId="70" fillId="0" borderId="0" xfId="32" applyFont="1" applyAlignment="1" applyProtection="1">
      <alignment horizontal="left" vertical="center"/>
      <protection locked="0"/>
    </xf>
    <xf numFmtId="39" fontId="30" fillId="0" borderId="30" xfId="3" applyNumberFormat="1" applyFont="1" applyBorder="1" applyAlignment="1" applyProtection="1">
      <alignment horizontal="right"/>
      <protection locked="0"/>
    </xf>
    <xf numFmtId="169" fontId="100" fillId="0" borderId="0" xfId="32" applyNumberFormat="1" applyFont="1" applyAlignment="1" applyProtection="1">
      <alignment horizontal="right" vertical="center"/>
      <protection locked="0"/>
    </xf>
    <xf numFmtId="0" fontId="12" fillId="0" borderId="30" xfId="3" applyBorder="1" applyAlignment="1" applyProtection="1">
      <alignment vertical="top"/>
      <protection locked="0"/>
    </xf>
    <xf numFmtId="0" fontId="106" fillId="0" borderId="0" xfId="3" applyFont="1" applyAlignment="1" applyProtection="1">
      <alignment horizontal="left" vertical="center"/>
      <protection locked="0"/>
    </xf>
    <xf numFmtId="49" fontId="68" fillId="0" borderId="30" xfId="3" applyNumberFormat="1" applyFont="1" applyBorder="1" applyAlignment="1" applyProtection="1">
      <alignment horizontal="right"/>
      <protection locked="0"/>
    </xf>
    <xf numFmtId="0" fontId="68" fillId="0" borderId="30" xfId="3" applyFont="1" applyBorder="1" applyAlignment="1" applyProtection="1">
      <alignment horizontal="left" wrapText="1"/>
      <protection locked="0"/>
    </xf>
    <xf numFmtId="4" fontId="30" fillId="5" borderId="30" xfId="3" applyNumberFormat="1" applyFont="1" applyFill="1" applyBorder="1" applyAlignment="1" applyProtection="1">
      <alignment horizontal="right"/>
      <protection locked="0"/>
    </xf>
    <xf numFmtId="167" fontId="10" fillId="0" borderId="30" xfId="3" applyNumberFormat="1" applyFont="1" applyBorder="1" applyAlignment="1" applyProtection="1">
      <alignment horizontal="left" wrapText="1"/>
      <protection locked="0"/>
    </xf>
    <xf numFmtId="4" fontId="10" fillId="7" borderId="30" xfId="3" applyNumberFormat="1" applyFont="1" applyFill="1" applyBorder="1" applyAlignment="1" applyProtection="1">
      <alignment horizontal="right"/>
      <protection locked="0"/>
    </xf>
    <xf numFmtId="39" fontId="10" fillId="7" borderId="30" xfId="3" applyNumberFormat="1" applyFont="1" applyFill="1" applyBorder="1" applyAlignment="1" applyProtection="1">
      <alignment horizontal="center"/>
      <protection locked="0"/>
    </xf>
    <xf numFmtId="0" fontId="86" fillId="0" borderId="0" xfId="48" applyFont="1" applyAlignment="1">
      <alignment horizontal="left" vertical="center"/>
      <protection locked="0"/>
    </xf>
    <xf numFmtId="0" fontId="30" fillId="0" borderId="30" xfId="38" applyFont="1" applyBorder="1" applyAlignment="1" applyProtection="1">
      <alignment horizontal="left" wrapText="1"/>
      <protection locked="0"/>
    </xf>
    <xf numFmtId="4" fontId="30" fillId="0" borderId="30" xfId="3" applyNumberFormat="1" applyFont="1" applyBorder="1" applyAlignment="1" applyProtection="1">
      <alignment horizontal="right"/>
      <protection locked="0"/>
    </xf>
    <xf numFmtId="49" fontId="74" fillId="0" borderId="30" xfId="38" applyNumberFormat="1" applyFont="1" applyBorder="1" applyAlignment="1" applyProtection="1">
      <alignment horizontal="right"/>
      <protection locked="0"/>
    </xf>
    <xf numFmtId="0" fontId="74" fillId="0" borderId="30" xfId="38" applyFont="1" applyBorder="1" applyAlignment="1" applyProtection="1">
      <alignment horizontal="left" wrapText="1"/>
      <protection locked="0"/>
    </xf>
    <xf numFmtId="2" fontId="30" fillId="0" borderId="30" xfId="38" applyNumberFormat="1" applyFont="1" applyBorder="1" applyAlignment="1" applyProtection="1">
      <alignment horizontal="right"/>
      <protection locked="0"/>
    </xf>
    <xf numFmtId="4" fontId="30" fillId="0" borderId="30" xfId="38" applyNumberFormat="1" applyFont="1" applyBorder="1" applyAlignment="1" applyProtection="1">
      <alignment horizontal="right"/>
      <protection locked="0"/>
    </xf>
    <xf numFmtId="39" fontId="10" fillId="0" borderId="30" xfId="38" applyNumberFormat="1" applyFont="1" applyBorder="1" applyAlignment="1" applyProtection="1">
      <alignment horizontal="center"/>
      <protection locked="0"/>
    </xf>
    <xf numFmtId="2" fontId="12" fillId="0" borderId="0" xfId="38" applyNumberFormat="1" applyAlignment="1" applyProtection="1">
      <alignment horizontal="left" vertical="top"/>
      <protection locked="0"/>
    </xf>
    <xf numFmtId="0" fontId="12" fillId="0" borderId="0" xfId="38" applyAlignment="1" applyProtection="1">
      <alignment horizontal="left" vertical="top"/>
      <protection locked="0"/>
    </xf>
    <xf numFmtId="169" fontId="10" fillId="0" borderId="30" xfId="3" applyNumberFormat="1" applyFont="1" applyBorder="1" applyAlignment="1" applyProtection="1">
      <alignment horizontal="right"/>
      <protection locked="0"/>
    </xf>
    <xf numFmtId="169" fontId="73" fillId="0" borderId="0" xfId="26" applyNumberFormat="1" applyFont="1" applyAlignment="1" applyProtection="1">
      <alignment horizontal="left" vertical="center"/>
      <protection locked="0"/>
    </xf>
    <xf numFmtId="49" fontId="10" fillId="0" borderId="30" xfId="34" applyNumberFormat="1" applyFont="1" applyBorder="1" applyAlignment="1" applyProtection="1">
      <alignment horizontal="right"/>
      <protection locked="0"/>
    </xf>
    <xf numFmtId="49" fontId="10" fillId="0" borderId="30" xfId="34" applyNumberFormat="1" applyFont="1" applyBorder="1" applyAlignment="1" applyProtection="1">
      <alignment horizontal="left" wrapText="1"/>
      <protection locked="0"/>
    </xf>
    <xf numFmtId="0" fontId="39" fillId="0" borderId="30" xfId="34" applyFont="1" applyBorder="1" applyAlignment="1" applyProtection="1">
      <alignment horizontal="left" wrapText="1"/>
      <protection locked="0"/>
    </xf>
    <xf numFmtId="39" fontId="10" fillId="0" borderId="30" xfId="34" applyNumberFormat="1" applyFont="1" applyBorder="1" applyAlignment="1" applyProtection="1">
      <alignment horizontal="right"/>
      <protection locked="0"/>
    </xf>
    <xf numFmtId="39" fontId="10" fillId="0" borderId="30" xfId="34" applyNumberFormat="1" applyFont="1" applyBorder="1" applyAlignment="1" applyProtection="1">
      <alignment horizontal="center"/>
      <protection locked="0"/>
    </xf>
    <xf numFmtId="0" fontId="82" fillId="0" borderId="0" xfId="34" applyFont="1" applyAlignment="1" applyProtection="1">
      <alignment horizontal="left" vertical="center"/>
      <protection locked="0"/>
    </xf>
    <xf numFmtId="49" fontId="68" fillId="0" borderId="30" xfId="26" applyNumberFormat="1" applyFont="1" applyBorder="1" applyAlignment="1" applyProtection="1">
      <alignment horizontal="right"/>
      <protection locked="0"/>
    </xf>
    <xf numFmtId="49" fontId="68" fillId="0" borderId="30" xfId="26" applyNumberFormat="1" applyFont="1" applyBorder="1" applyAlignment="1" applyProtection="1">
      <alignment horizontal="left" wrapText="1"/>
      <protection locked="0"/>
    </xf>
    <xf numFmtId="0" fontId="68" fillId="0" borderId="30" xfId="26" applyFont="1" applyBorder="1" applyAlignment="1" applyProtection="1">
      <alignment horizontal="left" wrapText="1"/>
      <protection locked="0"/>
    </xf>
    <xf numFmtId="167" fontId="30" fillId="0" borderId="30" xfId="26" applyNumberFormat="1" applyFont="1" applyBorder="1" applyAlignment="1" applyProtection="1">
      <alignment horizontal="right" wrapText="1"/>
      <protection locked="0"/>
    </xf>
    <xf numFmtId="0" fontId="14" fillId="0" borderId="30" xfId="26" applyBorder="1" applyAlignment="1" applyProtection="1">
      <alignment horizontal="left" vertical="top"/>
      <protection locked="0"/>
    </xf>
    <xf numFmtId="0" fontId="107" fillId="0" borderId="0" xfId="26" applyFont="1" applyAlignment="1" applyProtection="1">
      <alignment horizontal="left" vertical="top"/>
      <protection locked="0"/>
    </xf>
    <xf numFmtId="0" fontId="82" fillId="0" borderId="0" xfId="26" applyFont="1" applyAlignment="1" applyProtection="1">
      <alignment horizontal="left" vertical="top"/>
      <protection locked="0"/>
    </xf>
    <xf numFmtId="0" fontId="82" fillId="0" borderId="0" xfId="26" applyFont="1"/>
    <xf numFmtId="2" fontId="25" fillId="0" borderId="0" xfId="34" applyNumberFormat="1" applyAlignment="1" applyProtection="1">
      <alignment horizontal="left" vertical="top"/>
      <protection locked="0"/>
    </xf>
    <xf numFmtId="49" fontId="74" fillId="0" borderId="30" xfId="26" applyNumberFormat="1" applyFont="1" applyBorder="1" applyAlignment="1" applyProtection="1">
      <alignment horizontal="right"/>
      <protection locked="0"/>
    </xf>
    <xf numFmtId="0" fontId="74" fillId="0" borderId="30" xfId="26" applyFont="1" applyBorder="1" applyAlignment="1" applyProtection="1">
      <alignment horizontal="left" wrapText="1"/>
      <protection locked="0"/>
    </xf>
    <xf numFmtId="167" fontId="30" fillId="0" borderId="30" xfId="26" applyNumberFormat="1" applyFont="1" applyBorder="1" applyAlignment="1" applyProtection="1">
      <alignment horizontal="right"/>
      <protection locked="0"/>
    </xf>
    <xf numFmtId="4" fontId="30" fillId="5" borderId="30" xfId="26" applyNumberFormat="1" applyFont="1" applyFill="1" applyBorder="1" applyAlignment="1" applyProtection="1">
      <alignment horizontal="right"/>
      <protection locked="0"/>
    </xf>
    <xf numFmtId="49" fontId="10" fillId="7" borderId="30" xfId="25" applyNumberFormat="1" applyFont="1" applyFill="1" applyBorder="1" applyAlignment="1" applyProtection="1">
      <alignment horizontal="right"/>
      <protection locked="0"/>
    </xf>
    <xf numFmtId="0" fontId="10" fillId="7" borderId="30" xfId="25" applyFont="1" applyFill="1" applyBorder="1" applyAlignment="1" applyProtection="1">
      <alignment horizontal="left" wrapText="1"/>
      <protection locked="0"/>
    </xf>
    <xf numFmtId="0" fontId="39" fillId="7" borderId="30" xfId="25" applyFont="1" applyFill="1" applyBorder="1" applyAlignment="1" applyProtection="1">
      <alignment horizontal="left" wrapText="1"/>
      <protection locked="0"/>
    </xf>
    <xf numFmtId="0" fontId="39" fillId="0" borderId="30" xfId="25" applyFont="1" applyBorder="1" applyAlignment="1" applyProtection="1">
      <alignment horizontal="left" wrapText="1"/>
      <protection locked="0"/>
    </xf>
    <xf numFmtId="167" fontId="39" fillId="0" borderId="30" xfId="25" applyNumberFormat="1" applyFont="1" applyBorder="1" applyAlignment="1" applyProtection="1">
      <alignment horizontal="right"/>
      <protection locked="0"/>
    </xf>
    <xf numFmtId="39" fontId="39" fillId="0" borderId="30" xfId="25" applyNumberFormat="1" applyFont="1" applyBorder="1" applyAlignment="1" applyProtection="1">
      <alignment horizontal="right"/>
      <protection locked="0"/>
    </xf>
    <xf numFmtId="39" fontId="10" fillId="7" borderId="30" xfId="25" applyNumberFormat="1" applyFont="1" applyFill="1" applyBorder="1" applyAlignment="1" applyProtection="1">
      <alignment horizontal="center"/>
      <protection locked="0"/>
    </xf>
    <xf numFmtId="0" fontId="108" fillId="0" borderId="0" xfId="25" applyFont="1" applyAlignment="1" applyProtection="1">
      <alignment horizontal="left" vertical="top"/>
      <protection locked="0"/>
    </xf>
    <xf numFmtId="0" fontId="18" fillId="0" borderId="0" xfId="3" applyFont="1"/>
    <xf numFmtId="39" fontId="39" fillId="7" borderId="30" xfId="25" applyNumberFormat="1" applyFont="1" applyFill="1" applyBorder="1" applyAlignment="1" applyProtection="1">
      <alignment horizontal="right"/>
      <protection locked="0"/>
    </xf>
    <xf numFmtId="0" fontId="54" fillId="0" borderId="0" xfId="32" applyFont="1" applyAlignment="1" applyProtection="1">
      <alignment horizontal="center" vertical="center"/>
      <protection locked="0"/>
    </xf>
    <xf numFmtId="39" fontId="30" fillId="5" borderId="30" xfId="3" applyNumberFormat="1" applyFont="1" applyFill="1" applyBorder="1" applyAlignment="1" applyProtection="1">
      <alignment horizontal="right"/>
      <protection locked="0"/>
    </xf>
    <xf numFmtId="49" fontId="10" fillId="0" borderId="30" xfId="47" applyNumberFormat="1" applyFont="1" applyBorder="1" applyAlignment="1">
      <alignment horizontal="right"/>
      <protection locked="0"/>
    </xf>
    <xf numFmtId="0" fontId="51" fillId="0" borderId="15" xfId="3" applyFont="1" applyBorder="1"/>
    <xf numFmtId="0" fontId="10" fillId="0" borderId="30" xfId="47" applyFont="1" applyBorder="1" applyAlignment="1">
      <alignment horizontal="left" wrapText="1"/>
      <protection locked="0"/>
    </xf>
    <xf numFmtId="39" fontId="10" fillId="0" borderId="30" xfId="47" applyNumberFormat="1" applyFont="1" applyBorder="1" applyAlignment="1">
      <alignment horizontal="right"/>
      <protection locked="0"/>
    </xf>
    <xf numFmtId="0" fontId="110" fillId="0" borderId="0" xfId="47" applyFont="1" applyAlignment="1">
      <alignment horizontal="center" vertical="center"/>
      <protection locked="0"/>
    </xf>
    <xf numFmtId="0" fontId="13" fillId="0" borderId="0" xfId="47" applyAlignment="1">
      <alignment horizontal="left" vertical="top"/>
      <protection locked="0"/>
    </xf>
    <xf numFmtId="167" fontId="30" fillId="0" borderId="30" xfId="12" applyNumberFormat="1" applyFont="1" applyBorder="1" applyAlignment="1">
      <alignment horizontal="right"/>
      <protection locked="0"/>
    </xf>
    <xf numFmtId="0" fontId="13" fillId="0" borderId="15" xfId="47" applyBorder="1" applyAlignment="1">
      <alignment horizontal="left" vertical="top"/>
      <protection locked="0"/>
    </xf>
    <xf numFmtId="167" fontId="10" fillId="0" borderId="30" xfId="47" applyNumberFormat="1" applyFont="1" applyBorder="1" applyAlignment="1">
      <alignment horizontal="left" wrapText="1"/>
      <protection locked="0"/>
    </xf>
    <xf numFmtId="0" fontId="68" fillId="0" borderId="30" xfId="47" applyFont="1" applyBorder="1" applyAlignment="1">
      <alignment horizontal="left" wrapText="1"/>
      <protection locked="0"/>
    </xf>
    <xf numFmtId="167" fontId="30" fillId="0" borderId="30" xfId="47" applyNumberFormat="1" applyFont="1" applyBorder="1" applyAlignment="1">
      <alignment horizontal="right"/>
      <protection locked="0"/>
    </xf>
    <xf numFmtId="0" fontId="73" fillId="0" borderId="0" xfId="3" applyFont="1" applyAlignment="1" applyProtection="1">
      <alignment horizontal="left" vertical="center"/>
      <protection locked="0"/>
    </xf>
    <xf numFmtId="167" fontId="30" fillId="0" borderId="30" xfId="48" applyNumberFormat="1" applyFont="1" applyBorder="1" applyAlignment="1">
      <alignment horizontal="right"/>
      <protection locked="0"/>
    </xf>
    <xf numFmtId="0" fontId="85" fillId="0" borderId="0" xfId="3" applyFont="1" applyAlignment="1">
      <alignment vertical="center"/>
    </xf>
    <xf numFmtId="0" fontId="50" fillId="0" borderId="30" xfId="3" applyFont="1" applyBorder="1" applyAlignment="1" applyProtection="1">
      <alignment horizontal="left" wrapText="1"/>
      <protection locked="0"/>
    </xf>
    <xf numFmtId="167" fontId="30" fillId="0" borderId="30" xfId="3" applyNumberFormat="1" applyFont="1" applyBorder="1" applyProtection="1">
      <protection locked="0"/>
    </xf>
    <xf numFmtId="39" fontId="50" fillId="0" borderId="30" xfId="3" applyNumberFormat="1" applyFont="1" applyBorder="1" applyAlignment="1" applyProtection="1">
      <alignment horizontal="right"/>
      <protection locked="0"/>
    </xf>
    <xf numFmtId="0" fontId="111" fillId="0" borderId="0" xfId="3" applyFont="1"/>
    <xf numFmtId="49" fontId="39" fillId="0" borderId="30" xfId="3" applyNumberFormat="1" applyFont="1" applyBorder="1" applyAlignment="1">
      <alignment horizontal="right"/>
    </xf>
    <xf numFmtId="0" fontId="39" fillId="0" borderId="30" xfId="3" applyFont="1" applyBorder="1" applyAlignment="1">
      <alignment horizontal="left" wrapText="1"/>
    </xf>
    <xf numFmtId="167" fontId="39" fillId="0" borderId="30" xfId="3" applyNumberFormat="1" applyFont="1" applyBorder="1" applyAlignment="1">
      <alignment horizontal="right"/>
    </xf>
    <xf numFmtId="39" fontId="39" fillId="0" borderId="30" xfId="3" applyNumberFormat="1" applyFont="1" applyBorder="1" applyAlignment="1">
      <alignment horizontal="right"/>
    </xf>
    <xf numFmtId="0" fontId="12" fillId="0" borderId="30" xfId="3" applyBorder="1" applyAlignment="1">
      <alignment horizontal="left" vertical="top"/>
    </xf>
    <xf numFmtId="49" fontId="39" fillId="0" borderId="30" xfId="49" applyNumberFormat="1" applyFont="1" applyBorder="1" applyAlignment="1" applyProtection="1">
      <alignment horizontal="right"/>
      <protection locked="0"/>
    </xf>
    <xf numFmtId="49" fontId="39" fillId="0" borderId="30" xfId="49" applyNumberFormat="1" applyFont="1" applyBorder="1" applyAlignment="1" applyProtection="1">
      <alignment horizontal="left" wrapText="1"/>
      <protection locked="0"/>
    </xf>
    <xf numFmtId="0" fontId="39" fillId="0" borderId="30" xfId="49" applyFont="1" applyBorder="1" applyAlignment="1" applyProtection="1">
      <alignment horizontal="left" wrapText="1"/>
      <protection locked="0"/>
    </xf>
    <xf numFmtId="167" fontId="39" fillId="0" borderId="30" xfId="49" applyNumberFormat="1" applyFont="1" applyBorder="1" applyAlignment="1" applyProtection="1">
      <alignment horizontal="right"/>
      <protection locked="0"/>
    </xf>
    <xf numFmtId="39" fontId="39" fillId="0" borderId="30" xfId="49" applyNumberFormat="1" applyFont="1" applyBorder="1" applyAlignment="1" applyProtection="1">
      <alignment horizontal="right"/>
      <protection locked="0"/>
    </xf>
    <xf numFmtId="0" fontId="96" fillId="0" borderId="30" xfId="49" applyFont="1" applyBorder="1" applyAlignment="1" applyProtection="1">
      <alignment horizontal="right" vertical="center"/>
      <protection locked="0"/>
    </xf>
    <xf numFmtId="0" fontId="40" fillId="0" borderId="0" xfId="49" applyAlignment="1" applyProtection="1">
      <alignment horizontal="left" vertical="top"/>
      <protection locked="0"/>
    </xf>
    <xf numFmtId="0" fontId="75" fillId="0" borderId="30" xfId="32" applyFont="1" applyBorder="1" applyAlignment="1" applyProtection="1">
      <alignment horizontal="left" wrapText="1"/>
      <protection locked="0"/>
    </xf>
    <xf numFmtId="0" fontId="53" fillId="0" borderId="0" xfId="32" applyAlignment="1" applyProtection="1">
      <alignment horizontal="right" vertical="top"/>
      <protection locked="0"/>
    </xf>
    <xf numFmtId="167" fontId="12" fillId="0" borderId="0" xfId="3" applyNumberFormat="1"/>
    <xf numFmtId="49" fontId="39" fillId="0" borderId="30" xfId="3" applyNumberFormat="1" applyFont="1" applyBorder="1" applyAlignment="1" applyProtection="1">
      <alignment horizontal="right"/>
      <protection locked="0"/>
    </xf>
    <xf numFmtId="4" fontId="39" fillId="0" borderId="30" xfId="3" applyNumberFormat="1" applyFont="1" applyBorder="1" applyAlignment="1" applyProtection="1">
      <alignment horizontal="right"/>
      <protection locked="0"/>
    </xf>
    <xf numFmtId="0" fontId="13" fillId="0" borderId="30" xfId="3" applyFont="1" applyBorder="1" applyAlignment="1" applyProtection="1">
      <alignment horizontal="left" vertical="top"/>
      <protection locked="0"/>
    </xf>
    <xf numFmtId="0" fontId="13" fillId="0" borderId="0" xfId="3" applyFont="1" applyAlignment="1" applyProtection="1">
      <alignment horizontal="left" vertical="top"/>
      <protection locked="0"/>
    </xf>
    <xf numFmtId="39" fontId="10" fillId="0" borderId="30" xfId="50" applyNumberFormat="1" applyFont="1" applyBorder="1" applyAlignment="1" applyProtection="1">
      <alignment horizontal="center"/>
      <protection locked="0"/>
    </xf>
    <xf numFmtId="167" fontId="13" fillId="0" borderId="0" xfId="3" applyNumberFormat="1" applyFont="1" applyAlignment="1" applyProtection="1">
      <alignment horizontal="left" vertical="top"/>
      <protection locked="0"/>
    </xf>
    <xf numFmtId="49" fontId="10" fillId="0" borderId="30" xfId="50" applyNumberFormat="1" applyFont="1" applyBorder="1" applyAlignment="1" applyProtection="1">
      <alignment horizontal="right"/>
      <protection locked="0"/>
    </xf>
    <xf numFmtId="0" fontId="10" fillId="0" borderId="30" xfId="50" applyFont="1" applyBorder="1" applyAlignment="1" applyProtection="1">
      <alignment horizontal="left" wrapText="1"/>
      <protection locked="0"/>
    </xf>
    <xf numFmtId="39" fontId="10" fillId="0" borderId="30" xfId="50" applyNumberFormat="1" applyFont="1" applyBorder="1" applyAlignment="1" applyProtection="1">
      <alignment horizontal="right"/>
      <protection locked="0"/>
    </xf>
    <xf numFmtId="0" fontId="13" fillId="0" borderId="0" xfId="50" applyFont="1" applyAlignment="1" applyProtection="1">
      <alignment horizontal="left" vertical="top"/>
      <protection locked="0"/>
    </xf>
    <xf numFmtId="0" fontId="30" fillId="0" borderId="30" xfId="50" applyFont="1" applyBorder="1" applyAlignment="1" applyProtection="1">
      <alignment horizontal="left" wrapText="1"/>
      <protection locked="0"/>
    </xf>
    <xf numFmtId="167" fontId="30" fillId="0" borderId="30" xfId="50" applyNumberFormat="1" applyFont="1" applyBorder="1" applyAlignment="1" applyProtection="1">
      <alignment horizontal="right"/>
      <protection locked="0"/>
    </xf>
    <xf numFmtId="4" fontId="68" fillId="0" borderId="30" xfId="3" applyNumberFormat="1" applyFont="1" applyBorder="1" applyAlignment="1" applyProtection="1">
      <alignment horizontal="right"/>
      <protection locked="0"/>
    </xf>
    <xf numFmtId="4" fontId="39" fillId="7" borderId="30" xfId="3" applyNumberFormat="1" applyFont="1" applyFill="1" applyBorder="1" applyAlignment="1" applyProtection="1">
      <alignment horizontal="right"/>
      <protection locked="0"/>
    </xf>
    <xf numFmtId="0" fontId="55" fillId="0" borderId="30" xfId="3" applyFont="1" applyBorder="1" applyAlignment="1" applyProtection="1">
      <alignment horizontal="left" vertical="top"/>
      <protection locked="0"/>
    </xf>
    <xf numFmtId="0" fontId="55" fillId="0" borderId="0" xfId="3" applyFont="1" applyAlignment="1" applyProtection="1">
      <alignment horizontal="left" vertical="top"/>
      <protection locked="0"/>
    </xf>
    <xf numFmtId="0" fontId="92" fillId="0" borderId="0" xfId="41" applyFill="1" applyAlignment="1" applyProtection="1">
      <alignment horizontal="left" vertical="top"/>
      <protection locked="0"/>
    </xf>
    <xf numFmtId="4" fontId="50" fillId="0" borderId="30" xfId="3" applyNumberFormat="1" applyFont="1" applyBorder="1" applyAlignment="1" applyProtection="1">
      <alignment horizontal="right"/>
      <protection locked="0"/>
    </xf>
    <xf numFmtId="37" fontId="88" fillId="0" borderId="0" xfId="29" applyNumberFormat="1" applyFont="1" applyAlignment="1">
      <alignment horizontal="right"/>
    </xf>
    <xf numFmtId="0" fontId="88" fillId="0" borderId="0" xfId="29" applyFont="1" applyAlignment="1">
      <alignment horizontal="left" wrapText="1"/>
    </xf>
    <xf numFmtId="170" fontId="88" fillId="0" borderId="0" xfId="29" applyNumberFormat="1" applyFont="1" applyAlignment="1">
      <alignment horizontal="right"/>
    </xf>
    <xf numFmtId="39" fontId="88" fillId="0" borderId="0" xfId="29" applyNumberFormat="1" applyFont="1" applyAlignment="1">
      <alignment horizontal="right"/>
    </xf>
    <xf numFmtId="37" fontId="10" fillId="0" borderId="21" xfId="29" applyNumberFormat="1" applyFont="1" applyBorder="1" applyAlignment="1">
      <alignment horizontal="right"/>
    </xf>
    <xf numFmtId="0" fontId="10" fillId="0" borderId="21" xfId="29" applyFont="1" applyBorder="1" applyAlignment="1">
      <alignment horizontal="left" wrapText="1"/>
    </xf>
    <xf numFmtId="0" fontId="10" fillId="0" borderId="21" xfId="29" applyFont="1" applyBorder="1" applyAlignment="1">
      <alignment horizontal="center" wrapText="1"/>
    </xf>
    <xf numFmtId="170" fontId="10" fillId="0" borderId="21" xfId="29" applyNumberFormat="1" applyFont="1" applyBorder="1" applyAlignment="1">
      <alignment horizontal="right"/>
    </xf>
    <xf numFmtId="39" fontId="10" fillId="0" borderId="21" xfId="29" applyNumberFormat="1" applyFont="1" applyBorder="1" applyAlignment="1">
      <alignment horizontal="right"/>
    </xf>
    <xf numFmtId="0" fontId="89" fillId="0" borderId="0" xfId="29" applyFont="1" applyAlignment="1">
      <alignment horizontal="left" vertical="top"/>
    </xf>
    <xf numFmtId="0" fontId="39" fillId="0" borderId="32" xfId="3" applyFont="1" applyBorder="1" applyAlignment="1" applyProtection="1">
      <alignment horizontal="left"/>
      <protection locked="0"/>
    </xf>
    <xf numFmtId="0" fontId="68" fillId="0" borderId="33" xfId="29" applyFont="1" applyBorder="1" applyAlignment="1">
      <alignment horizontal="center"/>
    </xf>
    <xf numFmtId="170" fontId="68" fillId="0" borderId="33" xfId="29" applyNumberFormat="1" applyFont="1" applyBorder="1" applyAlignment="1">
      <alignment horizontal="right"/>
    </xf>
    <xf numFmtId="39" fontId="10" fillId="0" borderId="33" xfId="29" applyNumberFormat="1" applyFont="1" applyBorder="1" applyAlignment="1">
      <alignment horizontal="right"/>
    </xf>
    <xf numFmtId="39" fontId="50" fillId="0" borderId="0" xfId="29" applyNumberFormat="1" applyFont="1" applyAlignment="1">
      <alignment horizontal="center"/>
    </xf>
    <xf numFmtId="37" fontId="68" fillId="0" borderId="0" xfId="29" applyNumberFormat="1" applyFont="1" applyAlignment="1">
      <alignment horizontal="right"/>
    </xf>
    <xf numFmtId="0" fontId="68" fillId="0" borderId="0" xfId="29" applyFont="1" applyAlignment="1">
      <alignment horizontal="left" wrapText="1"/>
    </xf>
    <xf numFmtId="0" fontId="10" fillId="0" borderId="0" xfId="29" applyFont="1" applyAlignment="1">
      <alignment horizontal="left" wrapText="1"/>
    </xf>
    <xf numFmtId="0" fontId="68" fillId="0" borderId="0" xfId="29" applyFont="1" applyAlignment="1">
      <alignment horizontal="center" wrapText="1"/>
    </xf>
    <xf numFmtId="170" fontId="68" fillId="0" borderId="0" xfId="29" applyNumberFormat="1" applyFont="1" applyAlignment="1">
      <alignment horizontal="right"/>
    </xf>
    <xf numFmtId="39" fontId="68" fillId="0" borderId="0" xfId="29" applyNumberFormat="1" applyFont="1" applyAlignment="1">
      <alignment horizontal="right"/>
    </xf>
    <xf numFmtId="39" fontId="10" fillId="0" borderId="0" xfId="29" applyNumberFormat="1" applyFont="1" applyAlignment="1">
      <alignment horizontal="right"/>
    </xf>
    <xf numFmtId="0" fontId="11" fillId="0" borderId="0" xfId="16" applyFont="1" applyAlignment="1">
      <alignment vertical="center"/>
    </xf>
    <xf numFmtId="0" fontId="11" fillId="0" borderId="0" xfId="16" applyFont="1" applyAlignment="1">
      <alignment horizontal="center" vertical="center" wrapText="1"/>
    </xf>
    <xf numFmtId="0" fontId="37" fillId="0" borderId="0" xfId="28" applyFont="1" applyAlignment="1" applyProtection="1">
      <alignment horizontal="left"/>
    </xf>
    <xf numFmtId="0" fontId="39" fillId="0" borderId="0" xfId="28" applyFont="1" applyAlignment="1" applyProtection="1">
      <alignment horizontal="left"/>
    </xf>
    <xf numFmtId="0" fontId="10" fillId="0" borderId="0" xfId="28" applyFont="1" applyAlignment="1" applyProtection="1">
      <alignment horizontal="left"/>
    </xf>
    <xf numFmtId="0" fontId="10" fillId="0" borderId="21" xfId="28" applyFont="1" applyBorder="1" applyAlignment="1" applyProtection="1">
      <alignment horizontal="center" vertical="center" wrapText="1"/>
    </xf>
    <xf numFmtId="0" fontId="10" fillId="0" borderId="22" xfId="28" applyFont="1" applyBorder="1" applyAlignment="1" applyProtection="1">
      <alignment horizontal="center" vertical="center" wrapText="1"/>
    </xf>
    <xf numFmtId="0" fontId="10" fillId="0" borderId="23" xfId="28" applyFont="1" applyBorder="1" applyAlignment="1" applyProtection="1">
      <alignment horizontal="center" vertical="center" wrapText="1"/>
    </xf>
    <xf numFmtId="0" fontId="72" fillId="0" borderId="0" xfId="28" applyFont="1" applyAlignment="1">
      <alignment vertical="center"/>
      <protection locked="0"/>
    </xf>
    <xf numFmtId="0" fontId="64" fillId="0" borderId="0" xfId="28" applyFont="1" applyAlignment="1">
      <alignment vertical="center"/>
      <protection locked="0"/>
    </xf>
    <xf numFmtId="166" fontId="10" fillId="0" borderId="25" xfId="28" applyNumberFormat="1" applyFont="1" applyBorder="1" applyAlignment="1" applyProtection="1">
      <alignment horizontal="center" vertical="center"/>
    </xf>
    <xf numFmtId="166" fontId="10" fillId="0" borderId="26" xfId="28" applyNumberFormat="1" applyFont="1" applyBorder="1" applyAlignment="1" applyProtection="1">
      <alignment horizontal="center" vertical="center"/>
    </xf>
    <xf numFmtId="0" fontId="13" fillId="0" borderId="28" xfId="28" applyBorder="1" applyAlignment="1" applyProtection="1">
      <alignment horizontal="left"/>
    </xf>
    <xf numFmtId="0" fontId="13" fillId="0" borderId="29" xfId="28" applyBorder="1" applyAlignment="1" applyProtection="1">
      <alignment horizontal="left"/>
    </xf>
    <xf numFmtId="0" fontId="42" fillId="0" borderId="30" xfId="28" applyFont="1" applyBorder="1" applyAlignment="1" applyProtection="1">
      <alignment horizontal="center"/>
    </xf>
    <xf numFmtId="0" fontId="42" fillId="0" borderId="30" xfId="28" applyFont="1" applyBorder="1" applyAlignment="1" applyProtection="1">
      <alignment horizontal="left"/>
    </xf>
    <xf numFmtId="0" fontId="43" fillId="0" borderId="30" xfId="28" applyFont="1" applyBorder="1" applyAlignment="1" applyProtection="1">
      <alignment horizontal="left" vertical="center"/>
    </xf>
    <xf numFmtId="0" fontId="44" fillId="0" borderId="30" xfId="27" applyFont="1" applyBorder="1" applyAlignment="1" applyProtection="1">
      <alignment horizontal="left" vertical="center"/>
    </xf>
    <xf numFmtId="0" fontId="38" fillId="0" borderId="0" xfId="28" applyFont="1" applyAlignment="1" applyProtection="1">
      <alignment horizontal="center"/>
    </xf>
    <xf numFmtId="0" fontId="13" fillId="0" borderId="0" xfId="24" applyFont="1" applyAlignment="1" applyProtection="1">
      <alignment horizontal="left" vertical="top"/>
      <protection locked="0"/>
    </xf>
    <xf numFmtId="0" fontId="49" fillId="0" borderId="0" xfId="24" applyFont="1" applyAlignment="1" applyProtection="1">
      <alignment horizontal="left" vertical="center"/>
      <protection locked="0"/>
    </xf>
    <xf numFmtId="0" fontId="40" fillId="0" borderId="0" xfId="24" applyAlignment="1" applyProtection="1">
      <alignment horizontal="left" vertical="top"/>
      <protection locked="0"/>
    </xf>
    <xf numFmtId="0" fontId="104" fillId="0" borderId="0" xfId="24" applyFont="1" applyAlignment="1" applyProtection="1">
      <alignment horizontal="left" vertical="top"/>
      <protection locked="0"/>
    </xf>
    <xf numFmtId="0" fontId="49" fillId="0" borderId="0" xfId="24" applyFont="1"/>
    <xf numFmtId="0" fontId="38" fillId="0" borderId="0" xfId="24" applyFont="1" applyAlignment="1">
      <alignment horizontal="center"/>
    </xf>
    <xf numFmtId="0" fontId="46" fillId="0" borderId="0" xfId="24" applyFont="1" applyAlignment="1" applyProtection="1">
      <alignment horizontal="right" vertical="top"/>
      <protection locked="0"/>
    </xf>
    <xf numFmtId="0" fontId="47" fillId="7" borderId="31" xfId="24" applyFont="1" applyFill="1" applyBorder="1" applyAlignment="1">
      <alignment horizontal="center" vertical="center" wrapText="1"/>
    </xf>
    <xf numFmtId="0" fontId="47" fillId="7" borderId="12" xfId="24" applyFont="1" applyFill="1" applyBorder="1" applyAlignment="1">
      <alignment horizontal="center" vertical="center" wrapText="1"/>
    </xf>
    <xf numFmtId="0" fontId="48" fillId="0" borderId="0" xfId="24" applyFont="1" applyAlignment="1">
      <alignment horizontal="left" vertical="center"/>
    </xf>
    <xf numFmtId="0" fontId="112" fillId="0" borderId="0" xfId="24" applyFont="1" applyAlignment="1">
      <alignment horizontal="left" vertical="center" wrapText="1"/>
    </xf>
    <xf numFmtId="0" fontId="112" fillId="0" borderId="0" xfId="24" applyFont="1" applyAlignment="1">
      <alignment horizontal="left" vertical="center"/>
    </xf>
    <xf numFmtId="37" fontId="39" fillId="7" borderId="0" xfId="24" applyNumberFormat="1" applyFont="1" applyFill="1" applyAlignment="1" applyProtection="1">
      <alignment horizontal="right"/>
      <protection locked="0"/>
    </xf>
    <xf numFmtId="0" fontId="39" fillId="7" borderId="0" xfId="24" applyFont="1" applyFill="1" applyAlignment="1" applyProtection="1">
      <alignment horizontal="left" wrapText="1"/>
      <protection locked="0"/>
    </xf>
    <xf numFmtId="170" fontId="39" fillId="7" borderId="0" xfId="24" applyNumberFormat="1" applyFont="1" applyFill="1" applyAlignment="1" applyProtection="1">
      <alignment horizontal="right"/>
      <protection locked="0"/>
    </xf>
    <xf numFmtId="39" fontId="39" fillId="7" borderId="0" xfId="24" applyNumberFormat="1" applyFont="1" applyFill="1" applyAlignment="1" applyProtection="1">
      <alignment horizontal="right"/>
      <protection locked="0"/>
    </xf>
    <xf numFmtId="0" fontId="40" fillId="7" borderId="0" xfId="24" applyFill="1" applyAlignment="1" applyProtection="1">
      <alignment horizontal="left" vertical="top"/>
      <protection locked="0"/>
    </xf>
    <xf numFmtId="37" fontId="10" fillId="7" borderId="30" xfId="24" applyNumberFormat="1" applyFont="1" applyFill="1" applyBorder="1" applyAlignment="1" applyProtection="1">
      <alignment horizontal="right"/>
      <protection locked="0"/>
    </xf>
    <xf numFmtId="0" fontId="10" fillId="7" borderId="30" xfId="24" applyFont="1" applyFill="1" applyBorder="1" applyAlignment="1" applyProtection="1">
      <alignment horizontal="left" wrapText="1"/>
      <protection locked="0"/>
    </xf>
    <xf numFmtId="0" fontId="39" fillId="7" borderId="30" xfId="24" applyFont="1" applyFill="1" applyBorder="1" applyAlignment="1" applyProtection="1">
      <alignment horizontal="left" wrapText="1"/>
      <protection locked="0"/>
    </xf>
    <xf numFmtId="2" fontId="39" fillId="7" borderId="30" xfId="24" applyNumberFormat="1" applyFont="1" applyFill="1" applyBorder="1" applyAlignment="1" applyProtection="1">
      <alignment horizontal="right"/>
      <protection locked="0"/>
    </xf>
    <xf numFmtId="39" fontId="39" fillId="7" borderId="30" xfId="24" applyNumberFormat="1" applyFont="1" applyFill="1" applyBorder="1" applyAlignment="1" applyProtection="1">
      <alignment horizontal="right"/>
      <protection locked="0"/>
    </xf>
    <xf numFmtId="39" fontId="10" fillId="7" borderId="30" xfId="24" applyNumberFormat="1" applyFont="1" applyFill="1" applyBorder="1" applyAlignment="1" applyProtection="1">
      <alignment horizontal="center"/>
      <protection locked="0"/>
    </xf>
    <xf numFmtId="0" fontId="108" fillId="0" borderId="0" xfId="24" applyFont="1" applyAlignment="1" applyProtection="1">
      <alignment horizontal="left" vertical="top"/>
      <protection locked="0"/>
    </xf>
    <xf numFmtId="39" fontId="10" fillId="0" borderId="30" xfId="27" applyNumberFormat="1" applyFont="1" applyBorder="1" applyAlignment="1">
      <alignment horizontal="right"/>
      <protection locked="0"/>
    </xf>
    <xf numFmtId="39" fontId="10" fillId="0" borderId="30" xfId="40" applyNumberFormat="1" applyFont="1" applyBorder="1" applyAlignment="1">
      <alignment horizontal="center"/>
      <protection locked="0"/>
    </xf>
    <xf numFmtId="0" fontId="66" fillId="0" borderId="0" xfId="24" applyFont="1" applyAlignment="1" applyProtection="1">
      <alignment horizontal="right" vertical="top"/>
      <protection locked="0"/>
    </xf>
    <xf numFmtId="39" fontId="10" fillId="0" borderId="30" xfId="38" applyNumberFormat="1" applyFont="1" applyBorder="1" applyAlignment="1" applyProtection="1">
      <alignment horizontal="right"/>
      <protection locked="0"/>
    </xf>
    <xf numFmtId="167" fontId="10" fillId="0" borderId="30" xfId="24" applyNumberFormat="1" applyFont="1" applyBorder="1" applyAlignment="1" applyProtection="1">
      <alignment horizontal="right"/>
      <protection locked="0"/>
    </xf>
    <xf numFmtId="37" fontId="10" fillId="0" borderId="30" xfId="24" applyNumberFormat="1" applyFont="1" applyBorder="1" applyAlignment="1" applyProtection="1">
      <alignment horizontal="right"/>
      <protection locked="0"/>
    </xf>
    <xf numFmtId="49" fontId="10" fillId="0" borderId="30" xfId="24" applyNumberFormat="1" applyFont="1" applyBorder="1" applyAlignment="1" applyProtection="1">
      <alignment horizontal="left" wrapText="1"/>
      <protection locked="0"/>
    </xf>
    <xf numFmtId="0" fontId="10" fillId="0" borderId="30" xfId="24" applyFont="1" applyBorder="1" applyAlignment="1" applyProtection="1">
      <alignment horizontal="left" wrapText="1"/>
      <protection locked="0"/>
    </xf>
    <xf numFmtId="39" fontId="10" fillId="0" borderId="30" xfId="24" applyNumberFormat="1" applyFont="1" applyBorder="1" applyAlignment="1" applyProtection="1">
      <alignment horizontal="right"/>
      <protection locked="0"/>
    </xf>
    <xf numFmtId="39" fontId="10" fillId="0" borderId="30" xfId="24" applyNumberFormat="1" applyFont="1" applyBorder="1" applyAlignment="1" applyProtection="1">
      <alignment horizontal="center"/>
      <protection locked="0"/>
    </xf>
    <xf numFmtId="0" fontId="113" fillId="0" borderId="0" xfId="24" applyFont="1" applyAlignment="1" applyProtection="1">
      <alignment horizontal="left" vertical="center"/>
      <protection locked="0"/>
    </xf>
    <xf numFmtId="0" fontId="30" fillId="0" borderId="30" xfId="24" applyFont="1" applyBorder="1" applyAlignment="1" applyProtection="1">
      <alignment horizontal="left" wrapText="1"/>
      <protection locked="0"/>
    </xf>
    <xf numFmtId="167" fontId="30" fillId="0" borderId="30" xfId="24" applyNumberFormat="1" applyFont="1" applyBorder="1" applyAlignment="1" applyProtection="1">
      <alignment horizontal="right"/>
      <protection locked="0"/>
    </xf>
    <xf numFmtId="0" fontId="114" fillId="0" borderId="0" xfId="24" applyFont="1" applyAlignment="1" applyProtection="1">
      <alignment horizontal="left" vertical="center"/>
      <protection locked="0"/>
    </xf>
    <xf numFmtId="49" fontId="10" fillId="0" borderId="30" xfId="24" applyNumberFormat="1" applyFont="1" applyBorder="1" applyAlignment="1" applyProtection="1">
      <alignment horizontal="right" wrapText="1"/>
      <protection locked="0"/>
    </xf>
    <xf numFmtId="167" fontId="40" fillId="0" borderId="30" xfId="24" applyNumberFormat="1" applyBorder="1" applyAlignment="1" applyProtection="1">
      <alignment horizontal="left" vertical="top"/>
      <protection locked="0"/>
    </xf>
    <xf numFmtId="2" fontId="10" fillId="0" borderId="30" xfId="24" applyNumberFormat="1" applyFont="1" applyBorder="1" applyAlignment="1" applyProtection="1">
      <alignment horizontal="center"/>
      <protection locked="0"/>
    </xf>
    <xf numFmtId="0" fontId="115" fillId="0" borderId="0" xfId="28" applyFont="1" applyAlignment="1">
      <alignment horizontal="left" vertical="center"/>
      <protection locked="0"/>
    </xf>
    <xf numFmtId="37" fontId="30" fillId="0" borderId="30" xfId="28" applyNumberFormat="1" applyFont="1" applyBorder="1" applyAlignment="1">
      <alignment horizontal="right"/>
      <protection locked="0"/>
    </xf>
    <xf numFmtId="0" fontId="40" fillId="0" borderId="0" xfId="24" applyAlignment="1" applyProtection="1">
      <alignment horizontal="left" vertical="center"/>
      <protection locked="0"/>
    </xf>
    <xf numFmtId="1" fontId="10" fillId="0" borderId="30" xfId="32" applyNumberFormat="1" applyFont="1" applyBorder="1" applyAlignment="1" applyProtection="1">
      <alignment horizontal="right" wrapText="1"/>
      <protection locked="0"/>
    </xf>
    <xf numFmtId="0" fontId="53" fillId="0" borderId="0" xfId="32" applyAlignment="1" applyProtection="1">
      <alignment horizontal="center" vertical="center"/>
      <protection locked="0"/>
    </xf>
    <xf numFmtId="4" fontId="87" fillId="0" borderId="30" xfId="32" applyNumberFormat="1" applyFont="1" applyBorder="1" applyAlignment="1" applyProtection="1">
      <alignment horizontal="right"/>
      <protection locked="0"/>
    </xf>
    <xf numFmtId="169" fontId="116" fillId="0" borderId="0" xfId="32" applyNumberFormat="1" applyFont="1" applyAlignment="1" applyProtection="1">
      <alignment horizontal="right" vertical="center"/>
      <protection locked="0"/>
    </xf>
    <xf numFmtId="169" fontId="53" fillId="0" borderId="0" xfId="32" applyNumberFormat="1" applyAlignment="1" applyProtection="1">
      <alignment horizontal="left" vertical="top"/>
      <protection locked="0"/>
    </xf>
    <xf numFmtId="2" fontId="53" fillId="0" borderId="0" xfId="32" applyNumberFormat="1" applyAlignment="1" applyProtection="1">
      <alignment horizontal="left" vertical="top"/>
      <protection locked="0"/>
    </xf>
    <xf numFmtId="2" fontId="100" fillId="0" borderId="0" xfId="32" applyNumberFormat="1" applyFont="1" applyAlignment="1" applyProtection="1">
      <alignment horizontal="right" vertical="center"/>
      <protection locked="0"/>
    </xf>
    <xf numFmtId="171" fontId="70" fillId="0" borderId="0" xfId="32" applyNumberFormat="1" applyFont="1" applyAlignment="1" applyProtection="1">
      <alignment horizontal="left" vertical="center"/>
      <protection locked="0"/>
    </xf>
    <xf numFmtId="2" fontId="64" fillId="0" borderId="0" xfId="32" applyNumberFormat="1" applyFont="1" applyAlignment="1" applyProtection="1">
      <alignment horizontal="left" vertical="center"/>
      <protection locked="0"/>
    </xf>
    <xf numFmtId="2" fontId="83" fillId="0" borderId="0" xfId="32" applyNumberFormat="1"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0" fontId="83" fillId="0" borderId="0" xfId="32" applyFont="1" applyAlignment="1" applyProtection="1">
      <alignment horizontal="left" vertical="center"/>
      <protection locked="0"/>
    </xf>
    <xf numFmtId="169" fontId="12" fillId="0" borderId="0" xfId="3" applyNumberFormat="1"/>
    <xf numFmtId="167" fontId="64" fillId="0" borderId="0" xfId="32" applyNumberFormat="1" applyFont="1" applyAlignment="1" applyProtection="1">
      <alignment horizontal="left" vertical="center"/>
      <protection locked="0"/>
    </xf>
    <xf numFmtId="37" fontId="10" fillId="0" borderId="30" xfId="36" applyNumberFormat="1" applyFont="1" applyBorder="1" applyAlignment="1" applyProtection="1">
      <alignment horizontal="right"/>
      <protection locked="0"/>
    </xf>
    <xf numFmtId="0" fontId="72" fillId="0" borderId="0" xfId="24" applyFont="1" applyAlignment="1" applyProtection="1">
      <alignment horizontal="left" vertical="center"/>
      <protection locked="0"/>
    </xf>
    <xf numFmtId="39" fontId="10" fillId="0" borderId="0" xfId="24" applyNumberFormat="1" applyFont="1" applyAlignment="1" applyProtection="1">
      <alignment horizontal="center"/>
      <protection locked="0"/>
    </xf>
    <xf numFmtId="0" fontId="40" fillId="0" borderId="30" xfId="24" applyBorder="1" applyAlignment="1" applyProtection="1">
      <alignment vertical="top"/>
      <protection locked="0"/>
    </xf>
    <xf numFmtId="39" fontId="85" fillId="0" borderId="0" xfId="24" applyNumberFormat="1" applyFont="1" applyAlignment="1" applyProtection="1">
      <alignment horizontal="left" vertical="center"/>
      <protection locked="0"/>
    </xf>
    <xf numFmtId="0" fontId="66" fillId="0" borderId="0" xfId="32"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2" fontId="118" fillId="0" borderId="0" xfId="32" applyNumberFormat="1" applyFont="1" applyAlignment="1" applyProtection="1">
      <alignment horizontal="right" vertical="center"/>
      <protection locked="0"/>
    </xf>
    <xf numFmtId="2" fontId="53" fillId="0" borderId="0" xfId="32" applyNumberFormat="1" applyAlignment="1" applyProtection="1">
      <alignment horizontal="left" vertical="center"/>
      <protection locked="0"/>
    </xf>
    <xf numFmtId="2" fontId="70" fillId="0" borderId="0" xfId="32" applyNumberFormat="1" applyFont="1" applyAlignment="1" applyProtection="1">
      <alignment horizontal="left" vertical="center"/>
      <protection locked="0"/>
    </xf>
    <xf numFmtId="0" fontId="119" fillId="0" borderId="0" xfId="32" applyFont="1" applyAlignment="1" applyProtection="1">
      <alignment horizontal="left" vertical="center"/>
      <protection locked="0"/>
    </xf>
    <xf numFmtId="37" fontId="56" fillId="0" borderId="30" xfId="3" applyNumberFormat="1" applyFont="1" applyBorder="1" applyAlignment="1" applyProtection="1">
      <alignment horizontal="right"/>
      <protection locked="0"/>
    </xf>
    <xf numFmtId="167" fontId="56" fillId="0" borderId="30" xfId="24" applyNumberFormat="1" applyFont="1" applyBorder="1" applyAlignment="1" applyProtection="1">
      <alignment horizontal="right"/>
      <protection locked="0"/>
    </xf>
    <xf numFmtId="1" fontId="56" fillId="0" borderId="30" xfId="32" applyNumberFormat="1" applyFont="1" applyBorder="1" applyAlignment="1" applyProtection="1">
      <alignment horizontal="right" wrapText="1"/>
      <protection locked="0"/>
    </xf>
    <xf numFmtId="49" fontId="56" fillId="0" borderId="30" xfId="32" applyNumberFormat="1" applyFont="1" applyBorder="1" applyAlignment="1" applyProtection="1">
      <alignment horizontal="left" wrapText="1"/>
      <protection locked="0"/>
    </xf>
    <xf numFmtId="0" fontId="59" fillId="0" borderId="30" xfId="32" applyFont="1" applyBorder="1" applyAlignment="1" applyProtection="1">
      <alignment horizontal="left" wrapText="1"/>
      <protection locked="0"/>
    </xf>
    <xf numFmtId="0" fontId="59" fillId="0" borderId="30" xfId="37" applyFont="1" applyBorder="1" applyAlignment="1">
      <alignment horizontal="left" wrapText="1"/>
    </xf>
    <xf numFmtId="4" fontId="59" fillId="0" borderId="30" xfId="32" applyNumberFormat="1" applyFont="1" applyBorder="1" applyAlignment="1" applyProtection="1">
      <alignment horizontal="right"/>
      <protection locked="0"/>
    </xf>
    <xf numFmtId="4" fontId="56" fillId="0" borderId="30" xfId="32" applyNumberFormat="1" applyFont="1" applyBorder="1" applyAlignment="1" applyProtection="1">
      <alignment horizontal="right"/>
      <protection locked="0"/>
    </xf>
    <xf numFmtId="39" fontId="56" fillId="0" borderId="30" xfId="32" applyNumberFormat="1" applyFont="1" applyBorder="1" applyAlignment="1" applyProtection="1">
      <alignment horizontal="center"/>
      <protection locked="0"/>
    </xf>
    <xf numFmtId="169" fontId="70" fillId="0" borderId="0" xfId="32" applyNumberFormat="1" applyFont="1" applyAlignment="1" applyProtection="1">
      <alignment horizontal="left" vertical="center"/>
      <protection locked="0"/>
    </xf>
    <xf numFmtId="1" fontId="10" fillId="0" borderId="30" xfId="24" applyNumberFormat="1" applyFont="1" applyBorder="1" applyAlignment="1" applyProtection="1">
      <alignment horizontal="right"/>
      <protection locked="0"/>
    </xf>
    <xf numFmtId="4" fontId="10" fillId="0" borderId="30" xfId="24" applyNumberFormat="1" applyFont="1" applyBorder="1" applyAlignment="1" applyProtection="1">
      <alignment horizontal="right"/>
      <protection locked="0"/>
    </xf>
    <xf numFmtId="4" fontId="78" fillId="0" borderId="0" xfId="24" applyNumberFormat="1" applyFont="1" applyAlignment="1" applyProtection="1">
      <alignment horizontal="center" vertical="center"/>
      <protection locked="0"/>
    </xf>
    <xf numFmtId="4" fontId="79" fillId="0" borderId="0" xfId="24" applyNumberFormat="1" applyFont="1" applyAlignment="1" applyProtection="1">
      <alignment horizontal="center" vertical="center"/>
      <protection locked="0"/>
    </xf>
    <xf numFmtId="37" fontId="10" fillId="0" borderId="30" xfId="28" applyNumberFormat="1" applyFont="1" applyBorder="1" applyAlignment="1">
      <alignment horizontal="right"/>
      <protection locked="0"/>
    </xf>
    <xf numFmtId="37" fontId="68" fillId="0" borderId="30" xfId="24" applyNumberFormat="1" applyFont="1" applyBorder="1" applyAlignment="1" applyProtection="1">
      <alignment horizontal="right"/>
      <protection locked="0"/>
    </xf>
    <xf numFmtId="49" fontId="6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wrapText="1"/>
      <protection locked="0"/>
    </xf>
    <xf numFmtId="0" fontId="40" fillId="0" borderId="30" xfId="24" applyBorder="1" applyAlignment="1" applyProtection="1">
      <alignment horizontal="left" vertical="top"/>
      <protection locked="0"/>
    </xf>
    <xf numFmtId="1" fontId="74" fillId="0" borderId="30" xfId="24" applyNumberFormat="1" applyFont="1" applyBorder="1" applyAlignment="1" applyProtection="1">
      <alignment horizontal="right"/>
      <protection locked="0"/>
    </xf>
    <xf numFmtId="0" fontId="74" fillId="0" borderId="30" xfId="24" applyFont="1" applyBorder="1" applyAlignment="1" applyProtection="1">
      <alignment horizontal="left" wrapText="1"/>
      <protection locked="0"/>
    </xf>
    <xf numFmtId="4" fontId="30" fillId="5" borderId="30" xfId="24" applyNumberFormat="1" applyFont="1" applyFill="1" applyBorder="1" applyAlignment="1" applyProtection="1">
      <alignment horizontal="right"/>
      <protection locked="0"/>
    </xf>
    <xf numFmtId="37" fontId="30" fillId="0" borderId="30" xfId="24" applyNumberFormat="1" applyFont="1" applyBorder="1" applyAlignment="1" applyProtection="1">
      <alignment horizontal="right"/>
      <protection locked="0"/>
    </xf>
    <xf numFmtId="0" fontId="13" fillId="0" borderId="0" xfId="24" applyFont="1" applyAlignment="1" applyProtection="1">
      <alignment horizontal="left" vertical="center"/>
      <protection locked="0"/>
    </xf>
    <xf numFmtId="0" fontId="86" fillId="0" borderId="0" xfId="48" applyFont="1" applyAlignment="1">
      <alignment horizontal="right" vertical="center"/>
      <protection locked="0"/>
    </xf>
    <xf numFmtId="167" fontId="10" fillId="0" borderId="30" xfId="24" applyNumberFormat="1" applyFont="1" applyBorder="1" applyAlignment="1" applyProtection="1">
      <alignment horizontal="left" wrapText="1"/>
      <protection locked="0"/>
    </xf>
    <xf numFmtId="4" fontId="10" fillId="7" borderId="30" xfId="24" applyNumberFormat="1" applyFont="1" applyFill="1" applyBorder="1" applyAlignment="1" applyProtection="1">
      <alignment horizontal="right"/>
      <protection locked="0"/>
    </xf>
    <xf numFmtId="2" fontId="121" fillId="0" borderId="0" xfId="28" applyNumberFormat="1" applyFont="1" applyAlignment="1">
      <alignment horizontal="left" vertical="center"/>
      <protection locked="0"/>
    </xf>
    <xf numFmtId="2" fontId="30" fillId="0" borderId="30" xfId="24" applyNumberFormat="1" applyFont="1" applyBorder="1" applyAlignment="1" applyProtection="1">
      <alignment horizontal="right"/>
      <protection locked="0"/>
    </xf>
    <xf numFmtId="4" fontId="30" fillId="0" borderId="30" xfId="24" applyNumberFormat="1" applyFont="1" applyBorder="1" applyAlignment="1" applyProtection="1">
      <alignment horizontal="right"/>
      <protection locked="0"/>
    </xf>
    <xf numFmtId="37" fontId="10" fillId="0" borderId="30" xfId="26" applyNumberFormat="1" applyFont="1" applyBorder="1" applyAlignment="1" applyProtection="1">
      <alignment horizontal="right"/>
      <protection locked="0"/>
    </xf>
    <xf numFmtId="37" fontId="10" fillId="0" borderId="30" xfId="34" applyNumberFormat="1" applyFont="1" applyBorder="1" applyAlignment="1" applyProtection="1">
      <alignment horizontal="right"/>
      <protection locked="0"/>
    </xf>
    <xf numFmtId="37" fontId="68" fillId="0" borderId="30" xfId="26" applyNumberFormat="1" applyFont="1" applyBorder="1" applyAlignment="1" applyProtection="1">
      <alignment horizontal="right"/>
      <protection locked="0"/>
    </xf>
    <xf numFmtId="1" fontId="74" fillId="0" borderId="30" xfId="38" applyNumberFormat="1" applyFont="1" applyBorder="1" applyAlignment="1" applyProtection="1">
      <alignment horizontal="right"/>
      <protection locked="0"/>
    </xf>
    <xf numFmtId="37" fontId="74" fillId="0" borderId="30" xfId="26" applyNumberFormat="1" applyFont="1" applyBorder="1" applyAlignment="1" applyProtection="1">
      <alignment horizontal="right"/>
      <protection locked="0"/>
    </xf>
    <xf numFmtId="37" fontId="74" fillId="0" borderId="30" xfId="39" applyNumberFormat="1" applyFont="1" applyBorder="1" applyAlignment="1">
      <alignment horizontal="right"/>
      <protection locked="0"/>
    </xf>
    <xf numFmtId="37" fontId="68" fillId="0" borderId="30" xfId="34" applyNumberFormat="1" applyFont="1" applyBorder="1" applyAlignment="1" applyProtection="1">
      <alignment horizontal="right"/>
      <protection locked="0"/>
    </xf>
    <xf numFmtId="37" fontId="10" fillId="0" borderId="30" xfId="25" applyNumberFormat="1" applyFont="1" applyBorder="1" applyAlignment="1" applyProtection="1">
      <alignment horizontal="right"/>
      <protection locked="0"/>
    </xf>
    <xf numFmtId="0" fontId="66" fillId="0" borderId="0" xfId="24" applyFont="1" applyAlignment="1" applyProtection="1">
      <alignment horizontal="left" vertical="top"/>
      <protection locked="0"/>
    </xf>
    <xf numFmtId="2" fontId="100" fillId="0" borderId="0" xfId="32" applyNumberFormat="1" applyFont="1" applyAlignment="1" applyProtection="1">
      <alignment horizontal="left" vertical="center"/>
      <protection locked="0"/>
    </xf>
    <xf numFmtId="0" fontId="122" fillId="0" borderId="0" xfId="24" applyFont="1" applyAlignment="1">
      <alignment vertical="center"/>
    </xf>
    <xf numFmtId="0" fontId="57" fillId="0" borderId="0" xfId="24" applyFont="1" applyAlignment="1">
      <alignment vertical="center"/>
    </xf>
    <xf numFmtId="0" fontId="60" fillId="0" borderId="0" xfId="24" applyFont="1" applyAlignment="1">
      <alignment horizontal="right" vertical="center"/>
    </xf>
    <xf numFmtId="173" fontId="39" fillId="0" borderId="30" xfId="24" applyNumberFormat="1" applyFont="1" applyBorder="1" applyAlignment="1" applyProtection="1">
      <alignment horizontal="right"/>
      <protection locked="0"/>
    </xf>
    <xf numFmtId="0" fontId="73" fillId="0" borderId="0" xfId="24" applyFont="1" applyAlignment="1" applyProtection="1">
      <alignment vertical="center"/>
      <protection locked="0"/>
    </xf>
    <xf numFmtId="0" fontId="40" fillId="0" borderId="0" xfId="24" applyAlignment="1" applyProtection="1">
      <alignment horizontal="right" vertical="center"/>
      <protection locked="0"/>
    </xf>
    <xf numFmtId="0" fontId="73" fillId="0" borderId="0" xfId="32" applyFont="1" applyAlignment="1" applyProtection="1">
      <alignment vertical="center"/>
      <protection locked="0"/>
    </xf>
    <xf numFmtId="0" fontId="123" fillId="0" borderId="30" xfId="32" applyFont="1" applyBorder="1" applyAlignment="1" applyProtection="1">
      <alignment horizontal="right" vertical="center" wrapText="1"/>
      <protection locked="0"/>
    </xf>
    <xf numFmtId="0" fontId="124" fillId="0" borderId="30" xfId="32" applyFont="1" applyBorder="1" applyAlignment="1" applyProtection="1">
      <alignment horizontal="left" wrapText="1"/>
      <protection locked="0"/>
    </xf>
    <xf numFmtId="0" fontId="30" fillId="0" borderId="30" xfId="24" applyFont="1" applyBorder="1" applyAlignment="1" applyProtection="1">
      <alignment horizontal="left" vertical="center" wrapText="1"/>
      <protection locked="0"/>
    </xf>
    <xf numFmtId="39" fontId="39" fillId="0" borderId="30" xfId="32" applyNumberFormat="1" applyFont="1" applyBorder="1" applyAlignment="1" applyProtection="1">
      <alignment horizontal="right"/>
      <protection locked="0"/>
    </xf>
    <xf numFmtId="0" fontId="71" fillId="0" borderId="0" xfId="51" applyFont="1" applyFill="1" applyAlignment="1" applyProtection="1">
      <alignment vertical="center"/>
    </xf>
    <xf numFmtId="0" fontId="126" fillId="0" borderId="0" xfId="32" applyFont="1" applyAlignment="1" applyProtection="1">
      <alignment horizontal="left" vertical="top"/>
      <protection locked="0"/>
    </xf>
    <xf numFmtId="1" fontId="68" fillId="0" borderId="30" xfId="24" applyNumberFormat="1" applyFont="1" applyBorder="1" applyAlignment="1" applyProtection="1">
      <alignment horizontal="right"/>
      <protection locked="0"/>
    </xf>
    <xf numFmtId="0" fontId="83" fillId="0" borderId="0" xfId="32" applyFont="1" applyAlignment="1" applyProtection="1">
      <alignment horizontal="left" vertical="top"/>
      <protection locked="0"/>
    </xf>
    <xf numFmtId="167" fontId="53" fillId="0" borderId="0" xfId="32" applyNumberFormat="1" applyAlignment="1" applyProtection="1">
      <alignment horizontal="left" vertical="top"/>
      <protection locked="0"/>
    </xf>
    <xf numFmtId="4" fontId="111" fillId="0" borderId="0" xfId="3" applyNumberFormat="1" applyFont="1"/>
    <xf numFmtId="167" fontId="111" fillId="0" borderId="0" xfId="3" applyNumberFormat="1" applyFont="1"/>
    <xf numFmtId="39" fontId="39" fillId="7" borderId="30" xfId="3" applyNumberFormat="1" applyFont="1" applyFill="1" applyBorder="1" applyAlignment="1" applyProtection="1">
      <alignment horizontal="right"/>
      <protection locked="0"/>
    </xf>
    <xf numFmtId="37" fontId="88" fillId="0" borderId="0" xfId="24" applyNumberFormat="1" applyFont="1" applyAlignment="1" applyProtection="1">
      <alignment horizontal="right"/>
      <protection locked="0"/>
    </xf>
    <xf numFmtId="0" fontId="88" fillId="0" borderId="0" xfId="24" applyFont="1" applyAlignment="1" applyProtection="1">
      <alignment horizontal="left" wrapText="1"/>
      <protection locked="0"/>
    </xf>
    <xf numFmtId="170" fontId="88" fillId="0" borderId="0" xfId="24" applyNumberFormat="1" applyFont="1" applyAlignment="1" applyProtection="1">
      <alignment horizontal="right"/>
      <protection locked="0"/>
    </xf>
    <xf numFmtId="39" fontId="88" fillId="0" borderId="0" xfId="24" applyNumberFormat="1" applyFont="1" applyAlignment="1" applyProtection="1">
      <alignment horizontal="right"/>
      <protection locked="0"/>
    </xf>
    <xf numFmtId="37" fontId="10" fillId="0" borderId="21" xfId="24" applyNumberFormat="1" applyFont="1" applyBorder="1" applyAlignment="1" applyProtection="1">
      <alignment horizontal="right"/>
      <protection locked="0"/>
    </xf>
    <xf numFmtId="0" fontId="10" fillId="0" borderId="21" xfId="24" applyFont="1" applyBorder="1" applyAlignment="1" applyProtection="1">
      <alignment horizontal="left" wrapText="1"/>
      <protection locked="0"/>
    </xf>
    <xf numFmtId="0" fontId="10" fillId="0" borderId="21" xfId="24" applyFont="1" applyBorder="1" applyAlignment="1" applyProtection="1">
      <alignment horizontal="center" wrapText="1"/>
      <protection locked="0"/>
    </xf>
    <xf numFmtId="170" fontId="10" fillId="0" borderId="21" xfId="24" applyNumberFormat="1" applyFont="1" applyBorder="1" applyAlignment="1" applyProtection="1">
      <alignment horizontal="right"/>
      <protection locked="0"/>
    </xf>
    <xf numFmtId="39" fontId="10" fillId="0" borderId="21" xfId="24" applyNumberFormat="1" applyFont="1" applyBorder="1" applyAlignment="1" applyProtection="1">
      <alignment horizontal="right"/>
      <protection locked="0"/>
    </xf>
    <xf numFmtId="0" fontId="89" fillId="0" borderId="0" xfId="24" applyFont="1" applyAlignment="1" applyProtection="1">
      <alignment horizontal="left" vertical="top"/>
      <protection locked="0"/>
    </xf>
    <xf numFmtId="0" fontId="39" fillId="0" borderId="32" xfId="24" applyFont="1" applyBorder="1" applyAlignment="1" applyProtection="1">
      <alignment horizontal="left"/>
      <protection locked="0"/>
    </xf>
    <xf numFmtId="0" fontId="68" fillId="0" borderId="33" xfId="24" applyFont="1" applyBorder="1" applyAlignment="1" applyProtection="1">
      <alignment horizontal="center"/>
      <protection locked="0"/>
    </xf>
    <xf numFmtId="170" fontId="68" fillId="0" borderId="33" xfId="24" applyNumberFormat="1" applyFont="1" applyBorder="1" applyAlignment="1" applyProtection="1">
      <alignment horizontal="right"/>
      <protection locked="0"/>
    </xf>
    <xf numFmtId="39" fontId="10" fillId="0" borderId="33" xfId="24" applyNumberFormat="1" applyFont="1" applyBorder="1" applyAlignment="1" applyProtection="1">
      <alignment horizontal="right"/>
      <protection locked="0"/>
    </xf>
    <xf numFmtId="39" fontId="50" fillId="0" borderId="0" xfId="24" applyNumberFormat="1" applyFont="1" applyAlignment="1" applyProtection="1">
      <alignment horizontal="center"/>
      <protection locked="0"/>
    </xf>
    <xf numFmtId="37" fontId="68" fillId="0" borderId="0" xfId="24" applyNumberFormat="1" applyFont="1" applyAlignment="1" applyProtection="1">
      <alignment horizontal="right"/>
      <protection locked="0"/>
    </xf>
    <xf numFmtId="0" fontId="68" fillId="0" borderId="0" xfId="24" applyFont="1" applyAlignment="1" applyProtection="1">
      <alignment horizontal="left" wrapText="1"/>
      <protection locked="0"/>
    </xf>
    <xf numFmtId="0" fontId="10" fillId="0" borderId="0" xfId="24" applyFont="1" applyAlignment="1" applyProtection="1">
      <alignment horizontal="left" wrapText="1"/>
      <protection locked="0"/>
    </xf>
    <xf numFmtId="0" fontId="68" fillId="0" borderId="0" xfId="24" applyFont="1" applyAlignment="1" applyProtection="1">
      <alignment horizontal="center" wrapText="1"/>
      <protection locked="0"/>
    </xf>
    <xf numFmtId="170" fontId="68" fillId="0" borderId="0" xfId="24" applyNumberFormat="1" applyFont="1" applyAlignment="1" applyProtection="1">
      <alignment horizontal="right"/>
      <protection locked="0"/>
    </xf>
    <xf numFmtId="39" fontId="68" fillId="0" borderId="0" xfId="24" applyNumberFormat="1" applyFont="1" applyAlignment="1" applyProtection="1">
      <alignment horizontal="right"/>
      <protection locked="0"/>
    </xf>
    <xf numFmtId="39" fontId="10" fillId="0" borderId="0" xfId="24" applyNumberFormat="1" applyFont="1" applyAlignment="1" applyProtection="1">
      <alignment horizontal="right"/>
      <protection locked="0"/>
    </xf>
    <xf numFmtId="0" fontId="40" fillId="0" borderId="0" xfId="24" applyAlignment="1" applyProtection="1">
      <alignment vertical="top"/>
      <protection locked="0"/>
    </xf>
    <xf numFmtId="0" fontId="55" fillId="0" borderId="0" xfId="24" applyFont="1" applyAlignment="1" applyProtection="1">
      <alignment horizontal="left" vertical="top"/>
      <protection locked="0"/>
    </xf>
    <xf numFmtId="0" fontId="89" fillId="0" borderId="0" xfId="24" applyFont="1" applyAlignment="1" applyProtection="1">
      <alignment vertical="top"/>
      <protection locked="0"/>
    </xf>
    <xf numFmtId="2" fontId="89" fillId="0" borderId="0" xfId="24" applyNumberFormat="1" applyFont="1" applyAlignment="1" applyProtection="1">
      <alignment vertical="top"/>
      <protection locked="0"/>
    </xf>
    <xf numFmtId="2" fontId="50" fillId="0" borderId="0" xfId="24" applyNumberFormat="1" applyFont="1" applyAlignment="1" applyProtection="1">
      <alignment horizontal="center"/>
      <protection locked="0"/>
    </xf>
    <xf numFmtId="0" fontId="13" fillId="0" borderId="0" xfId="24" applyFont="1" applyAlignment="1" applyProtection="1">
      <alignment vertical="top"/>
      <protection locked="0"/>
    </xf>
    <xf numFmtId="0" fontId="39" fillId="0" borderId="30" xfId="24" applyFont="1" applyBorder="1" applyAlignment="1" applyProtection="1">
      <alignment horizontal="left" wrapText="1"/>
      <protection locked="0"/>
    </xf>
    <xf numFmtId="2" fontId="39" fillId="0" borderId="30" xfId="24" applyNumberFormat="1" applyFont="1" applyBorder="1" applyAlignment="1" applyProtection="1">
      <alignment horizontal="right"/>
      <protection locked="0"/>
    </xf>
    <xf numFmtId="39" fontId="39" fillId="0" borderId="30" xfId="24" applyNumberFormat="1" applyFont="1" applyBorder="1" applyAlignment="1" applyProtection="1">
      <alignment horizontal="right"/>
      <protection locked="0"/>
    </xf>
    <xf numFmtId="171" fontId="53" fillId="0" borderId="0" xfId="32" applyNumberFormat="1" applyAlignment="1" applyProtection="1">
      <alignment horizontal="left" vertical="top"/>
      <protection locked="0"/>
    </xf>
    <xf numFmtId="39" fontId="70" fillId="0" borderId="0" xfId="32" applyNumberFormat="1" applyFont="1" applyAlignment="1" applyProtection="1">
      <alignment horizontal="left" vertical="center"/>
      <protection locked="0"/>
    </xf>
    <xf numFmtId="167" fontId="70" fillId="0" borderId="0" xfId="32" applyNumberFormat="1" applyFont="1" applyAlignment="1" applyProtection="1">
      <alignment horizontal="left" vertical="center"/>
      <protection locked="0"/>
    </xf>
    <xf numFmtId="172" fontId="70" fillId="0" borderId="0" xfId="32" applyNumberFormat="1" applyFont="1" applyAlignment="1" applyProtection="1">
      <alignment horizontal="left" vertical="center"/>
      <protection locked="0"/>
    </xf>
    <xf numFmtId="167" fontId="117" fillId="0" borderId="0" xfId="32" applyNumberFormat="1" applyFont="1" applyAlignment="1" applyProtection="1">
      <alignment horizontal="right" vertical="center"/>
      <protection locked="0"/>
    </xf>
    <xf numFmtId="167" fontId="118" fillId="0" borderId="0" xfId="32" applyNumberFormat="1" applyFont="1" applyAlignment="1" applyProtection="1">
      <alignment horizontal="right" vertical="center"/>
      <protection locked="0"/>
    </xf>
    <xf numFmtId="0" fontId="127" fillId="0" borderId="0" xfId="32" applyFont="1" applyAlignment="1" applyProtection="1">
      <alignment horizontal="left" vertical="top"/>
      <protection locked="0"/>
    </xf>
    <xf numFmtId="0" fontId="128" fillId="0" borderId="0" xfId="32" applyFont="1" applyAlignment="1" applyProtection="1">
      <alignment horizontal="right" vertical="top"/>
      <protection locked="0"/>
    </xf>
    <xf numFmtId="0" fontId="128" fillId="0" borderId="0" xfId="32" applyFont="1" applyAlignment="1" applyProtection="1">
      <alignment horizontal="left" vertical="top"/>
      <protection locked="0"/>
    </xf>
    <xf numFmtId="168" fontId="128" fillId="0" borderId="0" xfId="32" applyNumberFormat="1" applyFont="1" applyAlignment="1" applyProtection="1">
      <alignment horizontal="left" vertical="top"/>
      <protection locked="0"/>
    </xf>
    <xf numFmtId="0" fontId="127" fillId="0" borderId="0" xfId="32" applyFont="1" applyAlignment="1" applyProtection="1">
      <alignment horizontal="left" vertical="center"/>
      <protection locked="0"/>
    </xf>
    <xf numFmtId="4" fontId="129" fillId="0" borderId="30" xfId="32" applyNumberFormat="1" applyFont="1" applyBorder="1" applyAlignment="1" applyProtection="1">
      <alignment horizontal="right"/>
      <protection locked="0"/>
    </xf>
    <xf numFmtId="169" fontId="127" fillId="0" borderId="0" xfId="32" applyNumberFormat="1" applyFont="1" applyAlignment="1" applyProtection="1">
      <alignment horizontal="left" vertical="top"/>
      <protection locked="0"/>
    </xf>
    <xf numFmtId="0" fontId="130" fillId="0" borderId="0" xfId="32" applyFont="1" applyAlignment="1" applyProtection="1">
      <alignment horizontal="left" vertical="center"/>
      <protection locked="0"/>
    </xf>
    <xf numFmtId="169" fontId="131" fillId="0" borderId="0" xfId="32" applyNumberFormat="1" applyFont="1" applyAlignment="1" applyProtection="1">
      <alignment horizontal="right" vertical="center"/>
      <protection locked="0"/>
    </xf>
    <xf numFmtId="169" fontId="132" fillId="0" borderId="0" xfId="32" applyNumberFormat="1" applyFont="1" applyAlignment="1" applyProtection="1">
      <alignment horizontal="right" vertical="center"/>
      <protection locked="0"/>
    </xf>
    <xf numFmtId="169" fontId="128" fillId="0" borderId="0" xfId="32" applyNumberFormat="1" applyFont="1" applyAlignment="1" applyProtection="1">
      <alignment horizontal="left" vertical="top"/>
      <protection locked="0"/>
    </xf>
    <xf numFmtId="2" fontId="128" fillId="0" borderId="0" xfId="32" applyNumberFormat="1" applyFont="1" applyAlignment="1" applyProtection="1">
      <alignment horizontal="left" vertical="top"/>
      <protection locked="0"/>
    </xf>
    <xf numFmtId="2" fontId="131" fillId="0" borderId="0" xfId="32" applyNumberFormat="1" applyFont="1" applyAlignment="1" applyProtection="1">
      <alignment horizontal="right" vertical="center"/>
      <protection locked="0"/>
    </xf>
    <xf numFmtId="171" fontId="130"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171" fontId="128" fillId="0" borderId="0" xfId="32" applyNumberFormat="1" applyFont="1" applyAlignment="1" applyProtection="1">
      <alignment horizontal="left" vertical="top"/>
      <protection locked="0"/>
    </xf>
    <xf numFmtId="39" fontId="130"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37" fontId="10" fillId="7" borderId="30" xfId="25" applyNumberFormat="1" applyFont="1" applyFill="1" applyBorder="1" applyAlignment="1" applyProtection="1">
      <alignment horizontal="right"/>
      <protection locked="0"/>
    </xf>
    <xf numFmtId="0" fontId="135" fillId="0" borderId="0" xfId="24" applyFont="1" applyAlignment="1" applyProtection="1">
      <alignment horizontal="left" vertical="center"/>
      <protection locked="0"/>
    </xf>
    <xf numFmtId="0" fontId="105" fillId="0" borderId="0" xfId="24" applyFont="1" applyAlignment="1" applyProtection="1">
      <alignment vertical="top"/>
      <protection locked="0"/>
    </xf>
    <xf numFmtId="0" fontId="66" fillId="0" borderId="0" xfId="25" applyFont="1" applyAlignment="1" applyProtection="1">
      <alignment horizontal="left" vertical="top"/>
      <protection locked="0"/>
    </xf>
    <xf numFmtId="0" fontId="34" fillId="0" borderId="0" xfId="25" applyFont="1" applyAlignment="1" applyProtection="1">
      <alignment horizontal="left" vertical="top"/>
      <protection locked="0"/>
    </xf>
    <xf numFmtId="0" fontId="119" fillId="0" borderId="0" xfId="25" applyFont="1" applyAlignment="1" applyProtection="1">
      <alignment horizontal="left" vertical="center"/>
      <protection locked="0"/>
    </xf>
    <xf numFmtId="0" fontId="30" fillId="0" borderId="30" xfId="37" applyFont="1" applyBorder="1" applyAlignment="1">
      <alignment horizontal="left" vertical="center" wrapText="1"/>
    </xf>
    <xf numFmtId="37" fontId="10" fillId="7" borderId="30" xfId="3" applyNumberFormat="1" applyFont="1" applyFill="1" applyBorder="1" applyAlignment="1" applyProtection="1">
      <alignment horizontal="right"/>
      <protection locked="0"/>
    </xf>
    <xf numFmtId="0" fontId="39" fillId="7" borderId="30" xfId="3" applyFont="1" applyFill="1" applyBorder="1" applyAlignment="1" applyProtection="1">
      <alignment horizontal="left" wrapText="1"/>
      <protection locked="0"/>
    </xf>
    <xf numFmtId="39" fontId="50" fillId="7" borderId="30" xfId="3" applyNumberFormat="1" applyFont="1" applyFill="1" applyBorder="1" applyAlignment="1" applyProtection="1">
      <alignment horizontal="center"/>
      <protection locked="0"/>
    </xf>
    <xf numFmtId="0" fontId="12" fillId="7" borderId="30" xfId="3" applyFill="1" applyBorder="1" applyAlignment="1" applyProtection="1">
      <alignment horizontal="left" vertical="top"/>
      <protection locked="0"/>
    </xf>
    <xf numFmtId="0" fontId="38" fillId="0" borderId="0" xfId="3" applyFont="1" applyAlignment="1">
      <alignment horizontal="left"/>
    </xf>
    <xf numFmtId="0" fontId="136" fillId="0" borderId="0" xfId="3" applyFont="1" applyAlignment="1">
      <alignment horizontal="left" vertical="center"/>
    </xf>
    <xf numFmtId="0" fontId="38" fillId="0" borderId="0" xfId="3" applyFont="1" applyAlignment="1">
      <alignment horizontal="center"/>
    </xf>
    <xf numFmtId="0" fontId="46" fillId="0" borderId="0" xfId="3" applyFont="1" applyAlignment="1">
      <alignment horizontal="right" vertical="top"/>
    </xf>
    <xf numFmtId="0" fontId="47" fillId="0" borderId="31" xfId="3" applyFont="1" applyBorder="1" applyAlignment="1">
      <alignment horizontal="center" vertical="center" wrapText="1"/>
    </xf>
    <xf numFmtId="0" fontId="47" fillId="0" borderId="12" xfId="3" applyFont="1" applyBorder="1" applyAlignment="1">
      <alignment horizontal="center" vertical="center" wrapText="1"/>
    </xf>
    <xf numFmtId="0" fontId="85" fillId="0" borderId="0" xfId="3" applyFont="1" applyAlignment="1">
      <alignment horizontal="left" vertical="center"/>
    </xf>
    <xf numFmtId="37" fontId="39" fillId="0" borderId="0" xfId="3" applyNumberFormat="1" applyFont="1" applyAlignment="1">
      <alignment horizontal="right"/>
    </xf>
    <xf numFmtId="0" fontId="39" fillId="0" borderId="0" xfId="3" applyFont="1" applyAlignment="1">
      <alignment horizontal="left" wrapText="1"/>
    </xf>
    <xf numFmtId="170" fontId="39" fillId="0" borderId="0" xfId="3" applyNumberFormat="1" applyFont="1" applyAlignment="1">
      <alignment horizontal="right"/>
    </xf>
    <xf numFmtId="39" fontId="39" fillId="0" borderId="0" xfId="3" applyNumberFormat="1" applyFont="1" applyAlignment="1">
      <alignment horizontal="right"/>
    </xf>
    <xf numFmtId="0" fontId="12" fillId="0" borderId="0" xfId="3" applyAlignment="1">
      <alignment horizontal="left" vertical="top"/>
    </xf>
    <xf numFmtId="37" fontId="39" fillId="0" borderId="30" xfId="3" applyNumberFormat="1" applyFont="1" applyBorder="1" applyAlignment="1">
      <alignment horizontal="right"/>
    </xf>
    <xf numFmtId="0" fontId="39" fillId="0" borderId="30" xfId="3" applyFont="1" applyBorder="1" applyAlignment="1">
      <alignment horizontal="center" wrapText="1"/>
    </xf>
    <xf numFmtId="170" fontId="39" fillId="0" borderId="30" xfId="3" applyNumberFormat="1" applyFont="1" applyBorder="1" applyAlignment="1">
      <alignment horizontal="right"/>
    </xf>
    <xf numFmtId="39" fontId="39" fillId="7" borderId="30" xfId="3" applyNumberFormat="1" applyFont="1" applyFill="1" applyBorder="1" applyAlignment="1">
      <alignment horizontal="right"/>
    </xf>
    <xf numFmtId="0" fontId="13" fillId="7" borderId="30" xfId="3" applyFont="1" applyFill="1" applyBorder="1" applyAlignment="1">
      <alignment horizontal="left" vertical="top"/>
    </xf>
    <xf numFmtId="0" fontId="45" fillId="0" borderId="0" xfId="3" applyFont="1" applyAlignment="1">
      <alignment vertical="center"/>
    </xf>
    <xf numFmtId="167" fontId="45" fillId="0" borderId="0" xfId="3" applyNumberFormat="1" applyFont="1" applyAlignment="1">
      <alignment vertical="center"/>
    </xf>
    <xf numFmtId="0" fontId="30" fillId="0" borderId="30" xfId="52" applyFont="1" applyBorder="1" applyAlignment="1" applyProtection="1">
      <alignment horizontal="left" wrapText="1"/>
      <protection locked="0"/>
    </xf>
    <xf numFmtId="0" fontId="10" fillId="0" borderId="30" xfId="43" applyFont="1" applyBorder="1" applyAlignment="1" applyProtection="1">
      <alignment horizontal="left" wrapText="1"/>
      <protection locked="0"/>
    </xf>
    <xf numFmtId="2" fontId="73" fillId="0" borderId="0" xfId="43" applyNumberFormat="1" applyFont="1" applyAlignment="1" applyProtection="1">
      <alignment horizontal="left" vertical="center"/>
      <protection locked="0"/>
    </xf>
    <xf numFmtId="0" fontId="9" fillId="0" borderId="0" xfId="43" applyAlignment="1" applyProtection="1">
      <alignment horizontal="left" vertical="top"/>
      <protection locked="0"/>
    </xf>
    <xf numFmtId="0" fontId="137" fillId="0" borderId="0" xfId="43" applyFont="1" applyAlignment="1" applyProtection="1">
      <alignment horizontal="center" vertical="center" wrapText="1"/>
      <protection locked="0"/>
    </xf>
    <xf numFmtId="0" fontId="73" fillId="0" borderId="0" xfId="43" applyFont="1" applyAlignment="1" applyProtection="1">
      <alignment horizontal="left" vertical="center"/>
      <protection locked="0"/>
    </xf>
    <xf numFmtId="39" fontId="39" fillId="0" borderId="0" xfId="24" applyNumberFormat="1" applyFont="1" applyAlignment="1" applyProtection="1">
      <alignment horizontal="left"/>
      <protection locked="0"/>
    </xf>
    <xf numFmtId="0" fontId="75" fillId="0" borderId="0" xfId="24" applyFont="1" applyAlignment="1" applyProtection="1">
      <alignment horizontal="right" vertical="center"/>
      <protection locked="0"/>
    </xf>
    <xf numFmtId="1" fontId="10" fillId="0" borderId="30" xfId="52" applyNumberFormat="1" applyFont="1" applyBorder="1" applyAlignment="1" applyProtection="1">
      <alignment horizontal="right"/>
      <protection locked="0"/>
    </xf>
    <xf numFmtId="49" fontId="10" fillId="0" borderId="30" xfId="52" applyNumberFormat="1" applyFont="1" applyBorder="1" applyAlignment="1" applyProtection="1">
      <alignment horizontal="left" wrapText="1"/>
      <protection locked="0"/>
    </xf>
    <xf numFmtId="0" fontId="10" fillId="0" borderId="30" xfId="52" applyFont="1" applyBorder="1" applyAlignment="1" applyProtection="1">
      <alignment horizontal="left" wrapText="1"/>
      <protection locked="0"/>
    </xf>
    <xf numFmtId="4" fontId="10" fillId="0" borderId="30" xfId="52" applyNumberFormat="1" applyFont="1" applyBorder="1" applyAlignment="1" applyProtection="1">
      <alignment horizontal="right"/>
      <protection locked="0"/>
    </xf>
    <xf numFmtId="0" fontId="49" fillId="0" borderId="0" xfId="52" applyFont="1" applyAlignment="1" applyProtection="1">
      <alignment horizontal="left" vertical="center"/>
      <protection locked="0"/>
    </xf>
    <xf numFmtId="0" fontId="9" fillId="0" borderId="0" xfId="52" applyAlignment="1" applyProtection="1">
      <alignment horizontal="left" vertical="top"/>
      <protection locked="0"/>
    </xf>
    <xf numFmtId="1" fontId="30" fillId="0" borderId="30" xfId="52" applyNumberFormat="1" applyFont="1" applyBorder="1" applyAlignment="1" applyProtection="1">
      <alignment horizontal="right"/>
      <protection locked="0"/>
    </xf>
    <xf numFmtId="0" fontId="74" fillId="0" borderId="30" xfId="52" applyFont="1" applyBorder="1" applyAlignment="1" applyProtection="1">
      <alignment horizontal="left" wrapText="1"/>
      <protection locked="0"/>
    </xf>
    <xf numFmtId="167" fontId="74" fillId="0" borderId="30" xfId="52" applyNumberFormat="1" applyFont="1" applyBorder="1" applyAlignment="1" applyProtection="1">
      <alignment horizontal="right"/>
      <protection locked="0"/>
    </xf>
    <xf numFmtId="4" fontId="30" fillId="0" borderId="30" xfId="52" applyNumberFormat="1" applyFont="1" applyBorder="1" applyAlignment="1" applyProtection="1">
      <alignment horizontal="right"/>
      <protection locked="0"/>
    </xf>
    <xf numFmtId="0" fontId="9" fillId="0" borderId="30" xfId="52" applyBorder="1" applyAlignment="1" applyProtection="1">
      <alignment horizontal="center" vertical="top"/>
      <protection locked="0"/>
    </xf>
    <xf numFmtId="0" fontId="55" fillId="0" borderId="0" xfId="52" applyFont="1" applyAlignment="1" applyProtection="1">
      <alignment horizontal="left" vertical="top"/>
      <protection locked="0"/>
    </xf>
    <xf numFmtId="39" fontId="10" fillId="0" borderId="30" xfId="27" applyNumberFormat="1" applyFont="1" applyBorder="1" applyAlignment="1">
      <alignment horizontal="center"/>
      <protection locked="0"/>
    </xf>
    <xf numFmtId="37" fontId="10" fillId="0" borderId="30" xfId="52" applyNumberFormat="1" applyFont="1" applyBorder="1" applyAlignment="1" applyProtection="1">
      <alignment horizontal="right"/>
      <protection locked="0"/>
    </xf>
    <xf numFmtId="39" fontId="10" fillId="0" borderId="30" xfId="52" applyNumberFormat="1" applyFont="1" applyBorder="1" applyAlignment="1" applyProtection="1">
      <alignment horizontal="right"/>
      <protection locked="0"/>
    </xf>
    <xf numFmtId="0" fontId="105" fillId="0" borderId="0" xfId="52" applyFont="1" applyAlignment="1">
      <alignment vertical="center"/>
    </xf>
    <xf numFmtId="0" fontId="9" fillId="0" borderId="0" xfId="52" applyAlignment="1">
      <alignment vertical="center"/>
    </xf>
    <xf numFmtId="0" fontId="9" fillId="0" borderId="0" xfId="52"/>
    <xf numFmtId="0" fontId="30" fillId="0" borderId="30" xfId="52" applyFont="1" applyBorder="1" applyAlignment="1">
      <alignment horizontal="left" vertical="center" wrapText="1"/>
    </xf>
    <xf numFmtId="0" fontId="30" fillId="0" borderId="30" xfId="52" applyFont="1" applyBorder="1" applyAlignment="1">
      <alignment horizontal="left" wrapText="1"/>
    </xf>
    <xf numFmtId="39" fontId="10" fillId="0" borderId="30" xfId="52" applyNumberFormat="1" applyFont="1" applyBorder="1" applyAlignment="1" applyProtection="1">
      <alignment horizontal="center"/>
      <protection locked="0"/>
    </xf>
    <xf numFmtId="0" fontId="125" fillId="0" borderId="0" xfId="51" applyFill="1" applyAlignment="1" applyProtection="1">
      <alignment vertical="center"/>
    </xf>
    <xf numFmtId="37" fontId="10" fillId="0" borderId="30" xfId="27" applyNumberFormat="1" applyFont="1" applyBorder="1" applyAlignment="1" applyProtection="1">
      <alignment horizontal="right"/>
    </xf>
    <xf numFmtId="0" fontId="10" fillId="0" borderId="30" xfId="27" applyFont="1" applyBorder="1" applyAlignment="1" applyProtection="1">
      <alignment horizontal="left" wrapText="1"/>
    </xf>
    <xf numFmtId="167" fontId="30" fillId="0" borderId="30" xfId="27" applyNumberFormat="1" applyFont="1" applyBorder="1" applyAlignment="1">
      <alignment horizontal="right"/>
      <protection locked="0"/>
    </xf>
    <xf numFmtId="39" fontId="10" fillId="0" borderId="30" xfId="27" applyNumberFormat="1" applyFont="1" applyBorder="1" applyAlignment="1" applyProtection="1">
      <alignment horizontal="right"/>
    </xf>
    <xf numFmtId="39" fontId="10" fillId="0" borderId="30" xfId="27" applyNumberFormat="1" applyFont="1" applyBorder="1" applyAlignment="1" applyProtection="1">
      <alignment horizontal="center"/>
    </xf>
    <xf numFmtId="0" fontId="13" fillId="0" borderId="0" xfId="27" applyAlignment="1">
      <alignment horizontal="left" vertical="top"/>
      <protection locked="0"/>
    </xf>
    <xf numFmtId="0" fontId="13" fillId="0" borderId="0" xfId="27" applyAlignment="1">
      <alignment vertical="top"/>
      <protection locked="0"/>
    </xf>
    <xf numFmtId="0" fontId="138" fillId="0" borderId="30" xfId="27" applyFont="1" applyBorder="1" applyAlignment="1" applyProtection="1">
      <alignment horizontal="left" vertical="center"/>
    </xf>
    <xf numFmtId="37" fontId="10" fillId="0" borderId="30" xfId="27" applyNumberFormat="1" applyFont="1" applyBorder="1" applyAlignment="1">
      <alignment horizontal="right"/>
      <protection locked="0"/>
    </xf>
    <xf numFmtId="0" fontId="13" fillId="0" borderId="0" xfId="27" applyAlignment="1">
      <alignment horizontal="left" vertical="center"/>
      <protection locked="0"/>
    </xf>
    <xf numFmtId="167" fontId="30" fillId="0" borderId="30" xfId="52" applyNumberFormat="1" applyFont="1" applyBorder="1" applyProtection="1">
      <protection locked="0"/>
    </xf>
    <xf numFmtId="0" fontId="50" fillId="0" borderId="30" xfId="52" applyFont="1" applyBorder="1" applyAlignment="1" applyProtection="1">
      <alignment horizontal="left" wrapText="1"/>
      <protection locked="0"/>
    </xf>
    <xf numFmtId="167" fontId="30" fillId="0" borderId="30" xfId="27" applyNumberFormat="1" applyFont="1" applyBorder="1" applyAlignment="1">
      <protection locked="0"/>
    </xf>
    <xf numFmtId="39" fontId="50" fillId="0" borderId="30" xfId="52" applyNumberFormat="1" applyFont="1" applyBorder="1" applyAlignment="1" applyProtection="1">
      <alignment horizontal="right"/>
      <protection locked="0"/>
    </xf>
    <xf numFmtId="39" fontId="50" fillId="0" borderId="30" xfId="52" applyNumberFormat="1" applyFont="1" applyBorder="1" applyAlignment="1" applyProtection="1">
      <alignment horizontal="center"/>
      <protection locked="0"/>
    </xf>
    <xf numFmtId="0" fontId="106" fillId="0" borderId="0" xfId="27" applyFont="1" applyAlignment="1">
      <alignment horizontal="left" vertical="center"/>
      <protection locked="0"/>
    </xf>
    <xf numFmtId="37" fontId="39" fillId="0" borderId="30" xfId="32" applyNumberFormat="1" applyFont="1" applyBorder="1" applyAlignment="1" applyProtection="1">
      <alignment horizontal="right"/>
      <protection locked="0"/>
    </xf>
    <xf numFmtId="0" fontId="39" fillId="0" borderId="30" xfId="32" applyFont="1" applyBorder="1" applyAlignment="1" applyProtection="1">
      <alignment horizontal="left" wrapText="1"/>
      <protection locked="0"/>
    </xf>
    <xf numFmtId="167" fontId="39" fillId="0" borderId="30" xfId="32" applyNumberFormat="1" applyFont="1" applyBorder="1" applyAlignment="1" applyProtection="1">
      <alignment horizontal="right"/>
      <protection locked="0"/>
    </xf>
    <xf numFmtId="39" fontId="39" fillId="0" borderId="30" xfId="32" applyNumberFormat="1" applyFont="1" applyBorder="1" applyAlignment="1" applyProtection="1">
      <alignment horizontal="right" vertical="center"/>
      <protection locked="0"/>
    </xf>
    <xf numFmtId="0" fontId="69" fillId="0" borderId="35" xfId="32" applyFont="1" applyBorder="1" applyAlignment="1" applyProtection="1">
      <alignment horizontal="left" vertical="top"/>
      <protection locked="0"/>
    </xf>
    <xf numFmtId="0" fontId="69" fillId="0" borderId="0" xfId="32" applyFont="1" applyAlignment="1" applyProtection="1">
      <alignment horizontal="left" vertical="top"/>
      <protection locked="0"/>
    </xf>
    <xf numFmtId="37" fontId="39" fillId="7" borderId="30" xfId="52" applyNumberFormat="1" applyFont="1" applyFill="1" applyBorder="1" applyAlignment="1" applyProtection="1">
      <alignment horizontal="right"/>
      <protection locked="0"/>
    </xf>
    <xf numFmtId="0" fontId="39" fillId="7" borderId="30" xfId="52" applyFont="1" applyFill="1" applyBorder="1" applyAlignment="1" applyProtection="1">
      <alignment horizontal="left" wrapText="1"/>
      <protection locked="0"/>
    </xf>
    <xf numFmtId="0" fontId="39" fillId="0" borderId="30" xfId="52" applyFont="1" applyBorder="1" applyAlignment="1" applyProtection="1">
      <alignment horizontal="left" wrapText="1"/>
      <protection locked="0"/>
    </xf>
    <xf numFmtId="167" fontId="39" fillId="0" borderId="30" xfId="52" applyNumberFormat="1" applyFont="1" applyBorder="1" applyAlignment="1" applyProtection="1">
      <alignment horizontal="right"/>
      <protection locked="0"/>
    </xf>
    <xf numFmtId="39" fontId="39" fillId="7" borderId="30" xfId="52" applyNumberFormat="1" applyFont="1" applyFill="1" applyBorder="1" applyAlignment="1" applyProtection="1">
      <alignment horizontal="right"/>
      <protection locked="0"/>
    </xf>
    <xf numFmtId="0" fontId="9" fillId="7" borderId="35" xfId="52" applyFill="1" applyBorder="1" applyAlignment="1" applyProtection="1">
      <alignment horizontal="left" vertical="top"/>
      <protection locked="0"/>
    </xf>
    <xf numFmtId="37" fontId="10" fillId="0" borderId="30" xfId="53" applyNumberFormat="1" applyFont="1" applyBorder="1" applyAlignment="1" applyProtection="1">
      <alignment horizontal="right"/>
      <protection locked="0"/>
    </xf>
    <xf numFmtId="49" fontId="10" fillId="0" borderId="30" xfId="53" applyNumberFormat="1" applyFont="1" applyBorder="1" applyAlignment="1" applyProtection="1">
      <alignment horizontal="left" wrapText="1"/>
      <protection locked="0"/>
    </xf>
    <xf numFmtId="0" fontId="10" fillId="0" borderId="30" xfId="53" applyFont="1" applyBorder="1" applyAlignment="1" applyProtection="1">
      <alignment horizontal="left" wrapText="1"/>
      <protection locked="0"/>
    </xf>
    <xf numFmtId="39" fontId="10" fillId="0" borderId="30" xfId="53" applyNumberFormat="1" applyFont="1" applyBorder="1" applyAlignment="1" applyProtection="1">
      <alignment horizontal="center"/>
      <protection locked="0"/>
    </xf>
    <xf numFmtId="0" fontId="12" fillId="0" borderId="0" xfId="53" applyAlignment="1" applyProtection="1">
      <alignment horizontal="left" vertical="top"/>
      <protection locked="0"/>
    </xf>
    <xf numFmtId="0" fontId="30" fillId="0" borderId="30" xfId="53" applyFont="1" applyBorder="1" applyAlignment="1" applyProtection="1">
      <alignment horizontal="right" wrapText="1"/>
      <protection locked="0"/>
    </xf>
    <xf numFmtId="0" fontId="30" fillId="0" borderId="30" xfId="53" applyFont="1" applyBorder="1" applyAlignment="1">
      <alignment horizontal="left" wrapText="1"/>
    </xf>
    <xf numFmtId="0" fontId="30" fillId="0" borderId="30" xfId="53" applyFont="1" applyBorder="1" applyAlignment="1" applyProtection="1">
      <alignment horizontal="left" wrapText="1"/>
      <protection locked="0"/>
    </xf>
    <xf numFmtId="167" fontId="30" fillId="0" borderId="30" xfId="53" applyNumberFormat="1" applyFont="1" applyBorder="1" applyAlignment="1" applyProtection="1">
      <alignment horizontal="right"/>
      <protection locked="0"/>
    </xf>
    <xf numFmtId="4" fontId="30" fillId="0" borderId="30" xfId="53" applyNumberFormat="1" applyFont="1" applyBorder="1" applyAlignment="1" applyProtection="1">
      <alignment horizontal="right"/>
      <protection locked="0"/>
    </xf>
    <xf numFmtId="0" fontId="12" fillId="0" borderId="0" xfId="53"/>
    <xf numFmtId="0" fontId="74" fillId="0" borderId="30" xfId="53" applyFont="1" applyBorder="1" applyAlignment="1" applyProtection="1">
      <alignment horizontal="left"/>
      <protection locked="0"/>
    </xf>
    <xf numFmtId="39" fontId="74" fillId="0" borderId="30" xfId="53" applyNumberFormat="1" applyFont="1" applyBorder="1" applyAlignment="1" applyProtection="1">
      <alignment horizontal="center"/>
      <protection locked="0"/>
    </xf>
    <xf numFmtId="1" fontId="139" fillId="0" borderId="30" xfId="38" applyNumberFormat="1" applyFont="1" applyBorder="1" applyAlignment="1" applyProtection="1">
      <alignment horizontal="right"/>
      <protection locked="0"/>
    </xf>
    <xf numFmtId="9" fontId="56" fillId="0" borderId="30" xfId="38" applyNumberFormat="1" applyFont="1" applyBorder="1" applyAlignment="1" applyProtection="1">
      <alignment horizontal="left" wrapText="1"/>
      <protection locked="0"/>
    </xf>
    <xf numFmtId="0" fontId="139" fillId="0" borderId="30" xfId="53" applyFont="1" applyBorder="1" applyAlignment="1" applyProtection="1">
      <alignment horizontal="left"/>
      <protection locked="0"/>
    </xf>
    <xf numFmtId="0" fontId="59" fillId="0" borderId="30" xfId="38" applyFont="1" applyBorder="1" applyAlignment="1" applyProtection="1">
      <alignment horizontal="left" wrapText="1"/>
      <protection locked="0"/>
    </xf>
    <xf numFmtId="0" fontId="139" fillId="0" borderId="30" xfId="38" applyFont="1" applyBorder="1" applyAlignment="1" applyProtection="1">
      <alignment horizontal="left" wrapText="1"/>
      <protection locked="0"/>
    </xf>
    <xf numFmtId="167" fontId="59" fillId="0" borderId="30" xfId="38" applyNumberFormat="1" applyFont="1" applyBorder="1" applyAlignment="1" applyProtection="1">
      <alignment horizontal="right"/>
      <protection locked="0"/>
    </xf>
    <xf numFmtId="4" fontId="59" fillId="5" borderId="30" xfId="38" applyNumberFormat="1" applyFont="1" applyFill="1" applyBorder="1" applyAlignment="1" applyProtection="1">
      <alignment horizontal="right"/>
      <protection locked="0"/>
    </xf>
    <xf numFmtId="39" fontId="139" fillId="0" borderId="30" xfId="53" applyNumberFormat="1" applyFont="1" applyBorder="1" applyAlignment="1" applyProtection="1">
      <alignment horizontal="center"/>
      <protection locked="0"/>
    </xf>
    <xf numFmtId="0" fontId="139" fillId="0" borderId="30" xfId="3" applyFont="1" applyBorder="1" applyAlignment="1" applyProtection="1">
      <alignment horizontal="left" wrapText="1"/>
      <protection locked="0"/>
    </xf>
    <xf numFmtId="37" fontId="68" fillId="0" borderId="30" xfId="53" applyNumberFormat="1" applyFont="1" applyBorder="1" applyAlignment="1" applyProtection="1">
      <alignment horizontal="right"/>
      <protection locked="0"/>
    </xf>
    <xf numFmtId="0" fontId="68" fillId="0" borderId="30" xfId="53" applyFont="1" applyBorder="1" applyAlignment="1" applyProtection="1">
      <alignment horizontal="left" wrapText="1"/>
      <protection locked="0"/>
    </xf>
    <xf numFmtId="167" fontId="101" fillId="0" borderId="30" xfId="53" applyNumberFormat="1" applyFont="1" applyBorder="1" applyAlignment="1" applyProtection="1">
      <alignment horizontal="right" wrapText="1"/>
      <protection locked="0"/>
    </xf>
    <xf numFmtId="4" fontId="68" fillId="0" borderId="30" xfId="53" applyNumberFormat="1" applyFont="1" applyBorder="1" applyAlignment="1" applyProtection="1">
      <alignment horizontal="right"/>
      <protection locked="0"/>
    </xf>
    <xf numFmtId="0" fontId="9" fillId="0" borderId="30" xfId="53" applyFont="1" applyBorder="1" applyAlignment="1" applyProtection="1">
      <alignment horizontal="left" vertical="top"/>
      <protection locked="0"/>
    </xf>
    <xf numFmtId="0" fontId="140" fillId="0" borderId="0" xfId="53" applyFont="1" applyAlignment="1" applyProtection="1">
      <alignment horizontal="left" vertical="top"/>
      <protection locked="0"/>
    </xf>
    <xf numFmtId="49" fontId="10" fillId="0" borderId="30" xfId="52" applyNumberFormat="1" applyFont="1" applyBorder="1" applyAlignment="1" applyProtection="1">
      <alignment horizontal="right" wrapText="1"/>
      <protection locked="0"/>
    </xf>
    <xf numFmtId="167" fontId="30" fillId="0" borderId="30" xfId="52" applyNumberFormat="1" applyFont="1" applyBorder="1" applyAlignment="1" applyProtection="1">
      <alignment horizontal="right"/>
      <protection locked="0"/>
    </xf>
    <xf numFmtId="4" fontId="10" fillId="7" borderId="30" xfId="52" applyNumberFormat="1" applyFont="1" applyFill="1" applyBorder="1" applyAlignment="1" applyProtection="1">
      <alignment horizontal="right"/>
      <protection locked="0"/>
    </xf>
    <xf numFmtId="39" fontId="10" fillId="7" borderId="30" xfId="52" applyNumberFormat="1" applyFont="1" applyFill="1" applyBorder="1" applyAlignment="1" applyProtection="1">
      <alignment horizontal="center"/>
      <protection locked="0"/>
    </xf>
    <xf numFmtId="4" fontId="52" fillId="0" borderId="0" xfId="53" applyNumberFormat="1" applyFont="1" applyAlignment="1" applyProtection="1">
      <alignment horizontal="left" vertical="top"/>
      <protection locked="0"/>
    </xf>
    <xf numFmtId="37" fontId="88" fillId="0" borderId="0" xfId="3" applyNumberFormat="1" applyFont="1" applyAlignment="1">
      <alignment horizontal="right"/>
    </xf>
    <xf numFmtId="0" fontId="88" fillId="0" borderId="0" xfId="3" applyFont="1" applyAlignment="1">
      <alignment horizontal="left" wrapText="1"/>
    </xf>
    <xf numFmtId="170" fontId="88" fillId="0" borderId="0" xfId="3" applyNumberFormat="1" applyFont="1" applyAlignment="1">
      <alignment horizontal="right"/>
    </xf>
    <xf numFmtId="39" fontId="88" fillId="0" borderId="0" xfId="3" applyNumberFormat="1" applyFont="1" applyAlignment="1">
      <alignment horizontal="right"/>
    </xf>
    <xf numFmtId="37" fontId="10" fillId="0" borderId="21" xfId="3" applyNumberFormat="1" applyFont="1" applyBorder="1" applyAlignment="1">
      <alignment horizontal="right"/>
    </xf>
    <xf numFmtId="0" fontId="10" fillId="0" borderId="21" xfId="3" applyFont="1" applyBorder="1" applyAlignment="1">
      <alignment horizontal="left" wrapText="1"/>
    </xf>
    <xf numFmtId="0" fontId="10" fillId="0" borderId="21" xfId="3" applyFont="1" applyBorder="1" applyAlignment="1">
      <alignment horizontal="center" wrapText="1"/>
    </xf>
    <xf numFmtId="170" fontId="10" fillId="0" borderId="21" xfId="3" applyNumberFormat="1" applyFont="1" applyBorder="1" applyAlignment="1">
      <alignment horizontal="right"/>
    </xf>
    <xf numFmtId="39" fontId="10" fillId="0" borderId="21" xfId="3" applyNumberFormat="1" applyFont="1" applyBorder="1" applyAlignment="1">
      <alignment horizontal="right"/>
    </xf>
    <xf numFmtId="0" fontId="89" fillId="0" borderId="0" xfId="3" applyFont="1" applyAlignment="1">
      <alignment horizontal="left" vertical="top"/>
    </xf>
    <xf numFmtId="0" fontId="39" fillId="0" borderId="32" xfId="3" applyFont="1" applyBorder="1" applyAlignment="1">
      <alignment horizontal="left"/>
    </xf>
    <xf numFmtId="0" fontId="68" fillId="0" borderId="33" xfId="3" applyFont="1" applyBorder="1" applyAlignment="1">
      <alignment horizontal="center"/>
    </xf>
    <xf numFmtId="170" fontId="68" fillId="0" borderId="33" xfId="3" applyNumberFormat="1" applyFont="1" applyBorder="1" applyAlignment="1">
      <alignment horizontal="right"/>
    </xf>
    <xf numFmtId="39" fontId="10" fillId="0" borderId="33" xfId="3" applyNumberFormat="1" applyFont="1" applyBorder="1" applyAlignment="1">
      <alignment horizontal="right"/>
    </xf>
    <xf numFmtId="39" fontId="50" fillId="0" borderId="0" xfId="3" applyNumberFormat="1" applyFont="1" applyAlignment="1">
      <alignment horizontal="center"/>
    </xf>
    <xf numFmtId="37" fontId="68" fillId="0" borderId="0" xfId="3" applyNumberFormat="1" applyFont="1" applyAlignment="1">
      <alignment horizontal="right"/>
    </xf>
    <xf numFmtId="0" fontId="68" fillId="0" borderId="0" xfId="3" applyFont="1" applyAlignment="1">
      <alignment horizontal="left" wrapText="1"/>
    </xf>
    <xf numFmtId="0" fontId="10" fillId="0" borderId="0" xfId="3" applyFont="1" applyAlignment="1">
      <alignment horizontal="left" wrapText="1"/>
    </xf>
    <xf numFmtId="0" fontId="68" fillId="0" borderId="0" xfId="3" applyFont="1" applyAlignment="1">
      <alignment horizontal="center" wrapText="1"/>
    </xf>
    <xf numFmtId="170" fontId="68" fillId="0" borderId="0" xfId="3" applyNumberFormat="1" applyFont="1" applyAlignment="1">
      <alignment horizontal="right"/>
    </xf>
    <xf numFmtId="39" fontId="68" fillId="0" borderId="0" xfId="3" applyNumberFormat="1" applyFont="1" applyAlignment="1">
      <alignment horizontal="right"/>
    </xf>
    <xf numFmtId="39" fontId="10" fillId="0" borderId="0" xfId="3" applyNumberFormat="1" applyFont="1" applyAlignment="1">
      <alignment horizontal="right"/>
    </xf>
    <xf numFmtId="37" fontId="39" fillId="7" borderId="30" xfId="3" applyNumberFormat="1" applyFont="1" applyFill="1" applyBorder="1" applyAlignment="1">
      <alignment horizontal="right"/>
    </xf>
    <xf numFmtId="0" fontId="39" fillId="7" borderId="30" xfId="3" applyFont="1" applyFill="1" applyBorder="1" applyAlignment="1">
      <alignment horizontal="center" wrapText="1"/>
    </xf>
    <xf numFmtId="170" fontId="39" fillId="7" borderId="30" xfId="3" applyNumberFormat="1" applyFont="1" applyFill="1" applyBorder="1" applyAlignment="1">
      <alignment horizontal="right"/>
    </xf>
    <xf numFmtId="0" fontId="9" fillId="0" borderId="0" xfId="52" applyAlignment="1" applyProtection="1">
      <alignment horizontal="left" vertical="center"/>
      <protection locked="0"/>
    </xf>
    <xf numFmtId="0" fontId="40" fillId="0" borderId="30" xfId="24" applyBorder="1" applyAlignment="1" applyProtection="1">
      <alignment horizontal="right" vertical="top"/>
      <protection locked="0"/>
    </xf>
    <xf numFmtId="0" fontId="45" fillId="0" borderId="0" xfId="3" applyFont="1" applyAlignment="1">
      <alignment horizontal="center" vertical="center"/>
    </xf>
    <xf numFmtId="0" fontId="141" fillId="0" borderId="0" xfId="32" applyFont="1" applyAlignment="1" applyProtection="1">
      <alignment horizontal="center" vertical="center"/>
      <protection locked="0"/>
    </xf>
    <xf numFmtId="167" fontId="45" fillId="0" borderId="0" xfId="3" applyNumberFormat="1" applyFont="1" applyAlignment="1">
      <alignment horizontal="center" vertical="center"/>
    </xf>
    <xf numFmtId="0" fontId="53" fillId="0" borderId="0" xfId="32" applyAlignment="1" applyProtection="1">
      <alignment horizontal="center" vertical="top"/>
      <protection locked="0"/>
    </xf>
    <xf numFmtId="167" fontId="141" fillId="0" borderId="0" xfId="32" applyNumberFormat="1" applyFont="1" applyAlignment="1" applyProtection="1">
      <alignment horizontal="center" vertical="center"/>
      <protection locked="0"/>
    </xf>
    <xf numFmtId="167" fontId="117" fillId="0" borderId="0" xfId="32" applyNumberFormat="1" applyFont="1" applyAlignment="1" applyProtection="1">
      <alignment horizontal="center" vertical="center"/>
      <protection locked="0"/>
    </xf>
    <xf numFmtId="167" fontId="10" fillId="0" borderId="30" xfId="28" applyNumberFormat="1" applyFont="1" applyBorder="1" applyAlignment="1">
      <protection locked="0"/>
    </xf>
    <xf numFmtId="167" fontId="137" fillId="0" borderId="0" xfId="43" applyNumberFormat="1" applyFont="1" applyAlignment="1" applyProtection="1">
      <alignment horizontal="center" vertical="center" wrapText="1"/>
      <protection locked="0"/>
    </xf>
    <xf numFmtId="49" fontId="10" fillId="0" borderId="30" xfId="54" applyNumberFormat="1" applyFont="1" applyBorder="1" applyAlignment="1" applyProtection="1">
      <alignment horizontal="right" wrapText="1"/>
      <protection locked="0"/>
    </xf>
    <xf numFmtId="49" fontId="10" fillId="0" borderId="30" xfId="54" applyNumberFormat="1" applyFont="1" applyBorder="1" applyAlignment="1" applyProtection="1">
      <alignment horizontal="left" wrapText="1"/>
      <protection locked="0"/>
    </xf>
    <xf numFmtId="0" fontId="10" fillId="0" borderId="30" xfId="54" applyFont="1" applyBorder="1" applyAlignment="1" applyProtection="1">
      <alignment horizontal="left" wrapText="1"/>
      <protection locked="0"/>
    </xf>
    <xf numFmtId="39" fontId="10" fillId="0" borderId="30" xfId="54" applyNumberFormat="1" applyFont="1" applyBorder="1" applyAlignment="1" applyProtection="1">
      <alignment horizontal="right"/>
      <protection locked="0"/>
    </xf>
    <xf numFmtId="39" fontId="10" fillId="0" borderId="0" xfId="54" applyNumberFormat="1" applyFont="1" applyAlignment="1" applyProtection="1">
      <alignment horizontal="center"/>
      <protection locked="0"/>
    </xf>
    <xf numFmtId="0" fontId="9" fillId="0" borderId="0" xfId="54" applyAlignment="1" applyProtection="1">
      <alignment horizontal="left" vertical="top"/>
      <protection locked="0"/>
    </xf>
    <xf numFmtId="0" fontId="30" fillId="0" borderId="30" xfId="54" applyFont="1" applyBorder="1" applyAlignment="1" applyProtection="1">
      <alignment horizontal="left" wrapText="1"/>
      <protection locked="0"/>
    </xf>
    <xf numFmtId="0" fontId="9" fillId="0" borderId="30" xfId="54" applyBorder="1" applyAlignment="1" applyProtection="1">
      <alignment vertical="top"/>
      <protection locked="0"/>
    </xf>
    <xf numFmtId="39" fontId="85" fillId="0" borderId="0" xfId="54" applyNumberFormat="1" applyFont="1" applyAlignment="1" applyProtection="1">
      <alignment horizontal="left" vertical="center"/>
      <protection locked="0"/>
    </xf>
    <xf numFmtId="37" fontId="10" fillId="0" borderId="30" xfId="54" applyNumberFormat="1" applyFont="1" applyBorder="1" applyAlignment="1" applyProtection="1">
      <alignment horizontal="right"/>
      <protection locked="0"/>
    </xf>
    <xf numFmtId="0" fontId="66" fillId="0" borderId="0" xfId="54" applyFont="1" applyAlignment="1" applyProtection="1">
      <alignment horizontal="right" vertical="top"/>
      <protection locked="0"/>
    </xf>
    <xf numFmtId="0" fontId="9" fillId="7" borderId="0" xfId="54" applyFill="1" applyAlignment="1" applyProtection="1">
      <alignment horizontal="left" vertical="top"/>
      <protection locked="0"/>
    </xf>
    <xf numFmtId="0" fontId="40" fillId="0" borderId="0" xfId="55"/>
    <xf numFmtId="0" fontId="10" fillId="0" borderId="0" xfId="55" applyFont="1" applyAlignment="1">
      <alignment horizontal="left"/>
    </xf>
    <xf numFmtId="0" fontId="38" fillId="0" borderId="0" xfId="55" applyFont="1" applyAlignment="1">
      <alignment horizontal="left"/>
    </xf>
    <xf numFmtId="0" fontId="40" fillId="0" borderId="0" xfId="55" applyAlignment="1">
      <alignment horizontal="left" vertical="top"/>
    </xf>
    <xf numFmtId="0" fontId="13" fillId="0" borderId="0" xfId="55" applyFont="1" applyAlignment="1" applyProtection="1">
      <alignment horizontal="left" vertical="top"/>
      <protection locked="0"/>
    </xf>
    <xf numFmtId="0" fontId="49" fillId="0" borderId="0" xfId="55" applyFont="1" applyAlignment="1" applyProtection="1">
      <alignment horizontal="left" vertical="center"/>
      <protection locked="0"/>
    </xf>
    <xf numFmtId="0" fontId="40" fillId="0" borderId="0" xfId="55" applyAlignment="1" applyProtection="1">
      <alignment horizontal="left" vertical="top"/>
      <protection locked="0"/>
    </xf>
    <xf numFmtId="0" fontId="104" fillId="0" borderId="0" xfId="55" applyFont="1" applyAlignment="1" applyProtection="1">
      <alignment horizontal="left" vertical="top"/>
      <protection locked="0"/>
    </xf>
    <xf numFmtId="0" fontId="49" fillId="0" borderId="0" xfId="55" applyFont="1"/>
    <xf numFmtId="0" fontId="38" fillId="0" borderId="0" xfId="55" applyFont="1" applyAlignment="1">
      <alignment horizontal="center"/>
    </xf>
    <xf numFmtId="0" fontId="46" fillId="0" borderId="0" xfId="55" applyFont="1" applyAlignment="1" applyProtection="1">
      <alignment horizontal="right" vertical="top"/>
      <protection locked="0"/>
    </xf>
    <xf numFmtId="0" fontId="47" fillId="7" borderId="31" xfId="55" applyFont="1" applyFill="1" applyBorder="1" applyAlignment="1">
      <alignment horizontal="center" vertical="center" wrapText="1"/>
    </xf>
    <xf numFmtId="0" fontId="47" fillId="7" borderId="12" xfId="55" applyFont="1" applyFill="1" applyBorder="1" applyAlignment="1">
      <alignment horizontal="center" vertical="center" wrapText="1"/>
    </xf>
    <xf numFmtId="0" fontId="112" fillId="0" borderId="0" xfId="55" applyFont="1" applyAlignment="1">
      <alignment horizontal="left" vertical="center" wrapText="1"/>
    </xf>
    <xf numFmtId="0" fontId="112" fillId="0" borderId="0" xfId="55" applyFont="1" applyAlignment="1">
      <alignment horizontal="left" vertical="center"/>
    </xf>
    <xf numFmtId="37" fontId="39" fillId="7" borderId="0" xfId="55" applyNumberFormat="1" applyFont="1" applyFill="1" applyAlignment="1" applyProtection="1">
      <alignment horizontal="right"/>
      <protection locked="0"/>
    </xf>
    <xf numFmtId="0" fontId="39" fillId="7" borderId="0" xfId="55" applyFont="1" applyFill="1" applyAlignment="1" applyProtection="1">
      <alignment horizontal="left" wrapText="1"/>
      <protection locked="0"/>
    </xf>
    <xf numFmtId="170" fontId="39" fillId="7" borderId="0" xfId="55" applyNumberFormat="1" applyFont="1" applyFill="1" applyAlignment="1" applyProtection="1">
      <alignment horizontal="right"/>
      <protection locked="0"/>
    </xf>
    <xf numFmtId="39" fontId="39" fillId="7" borderId="0" xfId="55" applyNumberFormat="1" applyFont="1" applyFill="1" applyAlignment="1" applyProtection="1">
      <alignment horizontal="right"/>
      <protection locked="0"/>
    </xf>
    <xf numFmtId="39" fontId="39" fillId="0" borderId="0" xfId="55" applyNumberFormat="1" applyFont="1" applyAlignment="1" applyProtection="1">
      <alignment horizontal="right"/>
      <protection locked="0"/>
    </xf>
    <xf numFmtId="37" fontId="10" fillId="0" borderId="30" xfId="55" applyNumberFormat="1" applyFont="1" applyBorder="1" applyAlignment="1" applyProtection="1">
      <alignment horizontal="right"/>
      <protection locked="0"/>
    </xf>
    <xf numFmtId="0" fontId="10" fillId="0" borderId="30" xfId="55" applyFont="1" applyBorder="1" applyAlignment="1" applyProtection="1">
      <alignment horizontal="left" wrapText="1"/>
      <protection locked="0"/>
    </xf>
    <xf numFmtId="0" fontId="39" fillId="0" borderId="30" xfId="55" applyFont="1" applyBorder="1" applyAlignment="1" applyProtection="1">
      <alignment horizontal="left" wrapText="1"/>
      <protection locked="0"/>
    </xf>
    <xf numFmtId="2" fontId="39" fillId="0" borderId="30" xfId="55" applyNumberFormat="1" applyFont="1" applyBorder="1" applyAlignment="1" applyProtection="1">
      <alignment horizontal="right"/>
      <protection locked="0"/>
    </xf>
    <xf numFmtId="39" fontId="39" fillId="0" borderId="30" xfId="55" applyNumberFormat="1" applyFont="1" applyBorder="1" applyAlignment="1" applyProtection="1">
      <alignment horizontal="right"/>
      <protection locked="0"/>
    </xf>
    <xf numFmtId="39" fontId="10" fillId="0" borderId="30" xfId="55" applyNumberFormat="1" applyFont="1" applyBorder="1" applyAlignment="1" applyProtection="1">
      <alignment horizontal="center"/>
      <protection locked="0"/>
    </xf>
    <xf numFmtId="0" fontId="108" fillId="0" borderId="0" xfId="55" applyFont="1" applyAlignment="1" applyProtection="1">
      <alignment horizontal="left" vertical="top"/>
      <protection locked="0"/>
    </xf>
    <xf numFmtId="0" fontId="117" fillId="0" borderId="0" xfId="3" applyFont="1" applyAlignment="1" applyProtection="1">
      <alignment horizontal="left" vertical="center"/>
      <protection locked="0"/>
    </xf>
    <xf numFmtId="0" fontId="137" fillId="0" borderId="0" xfId="23" applyFont="1" applyAlignment="1">
      <alignment horizontal="left" vertical="center"/>
      <protection locked="0"/>
    </xf>
    <xf numFmtId="49" fontId="10" fillId="0" borderId="30" xfId="44" applyNumberFormat="1" applyFont="1" applyBorder="1" applyAlignment="1">
      <alignment horizontal="right"/>
      <protection locked="0"/>
    </xf>
    <xf numFmtId="0" fontId="10" fillId="0" borderId="30" xfId="44" applyFont="1" applyBorder="1" applyAlignment="1">
      <alignment horizontal="left" wrapText="1"/>
      <protection locked="0"/>
    </xf>
    <xf numFmtId="4" fontId="30" fillId="0" borderId="30" xfId="44" applyNumberFormat="1" applyFont="1" applyBorder="1" applyAlignment="1">
      <alignment horizontal="right"/>
      <protection locked="0"/>
    </xf>
    <xf numFmtId="39" fontId="10" fillId="0" borderId="30" xfId="44" applyNumberFormat="1" applyFont="1" applyBorder="1" applyAlignment="1">
      <alignment horizontal="center"/>
      <protection locked="0"/>
    </xf>
    <xf numFmtId="49" fontId="10" fillId="0" borderId="30" xfId="39" applyNumberFormat="1" applyFont="1" applyBorder="1" applyAlignment="1" applyProtection="1">
      <alignment horizontal="right" wrapText="1"/>
    </xf>
    <xf numFmtId="49" fontId="10" fillId="0" borderId="30" xfId="39" applyNumberFormat="1" applyFont="1" applyBorder="1" applyAlignment="1" applyProtection="1">
      <alignment horizontal="left" wrapText="1"/>
    </xf>
    <xf numFmtId="0" fontId="10" fillId="0" borderId="30" xfId="39" applyFont="1" applyBorder="1" applyAlignment="1" applyProtection="1">
      <alignment horizontal="left" wrapText="1"/>
    </xf>
    <xf numFmtId="4" fontId="10" fillId="0" borderId="30" xfId="39" applyNumberFormat="1" applyFont="1" applyBorder="1" applyAlignment="1" applyProtection="1">
      <alignment horizontal="right"/>
    </xf>
    <xf numFmtId="0" fontId="107" fillId="0" borderId="0" xfId="39" applyFont="1" applyAlignment="1">
      <alignment horizontal="left" vertical="top"/>
      <protection locked="0"/>
    </xf>
    <xf numFmtId="0" fontId="13" fillId="0" borderId="0" xfId="39" applyAlignment="1">
      <alignment horizontal="left" vertical="top"/>
      <protection locked="0"/>
    </xf>
    <xf numFmtId="0" fontId="104" fillId="0" borderId="0" xfId="39" applyFont="1" applyAlignment="1">
      <alignment horizontal="left" vertical="top"/>
      <protection locked="0"/>
    </xf>
    <xf numFmtId="171" fontId="13" fillId="0" borderId="0" xfId="39" applyNumberFormat="1" applyAlignment="1">
      <alignment horizontal="left" vertical="top"/>
      <protection locked="0"/>
    </xf>
    <xf numFmtId="0" fontId="30" fillId="0" borderId="30" xfId="39" applyFont="1" applyBorder="1" applyAlignment="1" applyProtection="1">
      <alignment horizontal="left" wrapText="1"/>
    </xf>
    <xf numFmtId="167" fontId="30" fillId="0" borderId="30" xfId="39" applyNumberFormat="1" applyFont="1" applyBorder="1" applyAlignment="1" applyProtection="1">
      <alignment horizontal="right"/>
    </xf>
    <xf numFmtId="39" fontId="10" fillId="0" borderId="30" xfId="39" applyNumberFormat="1" applyFont="1" applyBorder="1" applyAlignment="1" applyProtection="1">
      <alignment horizontal="center"/>
    </xf>
    <xf numFmtId="0" fontId="66" fillId="0" borderId="0" xfId="55" applyFont="1" applyAlignment="1" applyProtection="1">
      <alignment horizontal="right" vertical="top"/>
      <protection locked="0"/>
    </xf>
    <xf numFmtId="0" fontId="40" fillId="7" borderId="0" xfId="55" applyFill="1" applyAlignment="1" applyProtection="1">
      <alignment horizontal="left" vertical="top"/>
      <protection locked="0"/>
    </xf>
    <xf numFmtId="49" fontId="10" fillId="0" borderId="30" xfId="0" applyNumberFormat="1" applyFont="1" applyBorder="1" applyAlignment="1">
      <alignment horizontal="right"/>
      <protection locked="0"/>
    </xf>
    <xf numFmtId="49" fontId="10" fillId="0" borderId="30" xfId="0" applyNumberFormat="1" applyFont="1" applyBorder="1" applyAlignment="1">
      <alignment horizontal="left" wrapText="1"/>
      <protection locked="0"/>
    </xf>
    <xf numFmtId="0" fontId="10" fillId="0" borderId="30" xfId="0" applyFont="1" applyBorder="1" applyAlignment="1">
      <alignment horizontal="left" wrapText="1"/>
      <protection locked="0"/>
    </xf>
    <xf numFmtId="39" fontId="10" fillId="0" borderId="30" xfId="0" applyNumberFormat="1" applyFont="1" applyBorder="1" applyAlignment="1">
      <alignment horizontal="right"/>
      <protection locked="0"/>
    </xf>
    <xf numFmtId="39" fontId="10" fillId="0" borderId="30" xfId="0" applyNumberFormat="1" applyFont="1" applyBorder="1" applyAlignment="1">
      <alignment horizontal="center"/>
      <protection locked="0"/>
    </xf>
    <xf numFmtId="0" fontId="113" fillId="0" borderId="0" xfId="0" applyFont="1" applyAlignment="1">
      <alignment horizontal="left" vertical="center"/>
      <protection locked="0"/>
    </xf>
    <xf numFmtId="0" fontId="0" fillId="0" borderId="0" xfId="0" applyAlignment="1">
      <alignment horizontal="left" vertical="top"/>
      <protection locked="0"/>
    </xf>
    <xf numFmtId="0" fontId="30" fillId="0" borderId="30" xfId="0" applyFont="1" applyBorder="1" applyAlignment="1">
      <alignment horizontal="left" wrapText="1"/>
      <protection locked="0"/>
    </xf>
    <xf numFmtId="167" fontId="30" fillId="0" borderId="30" xfId="0" applyNumberFormat="1" applyFont="1" applyBorder="1" applyAlignment="1">
      <alignment horizontal="right"/>
      <protection locked="0"/>
    </xf>
    <xf numFmtId="0" fontId="114" fillId="0" borderId="0" xfId="0" applyFont="1" applyAlignment="1">
      <alignment horizontal="left" vertical="center"/>
      <protection locked="0"/>
    </xf>
    <xf numFmtId="0" fontId="30" fillId="0" borderId="30" xfId="55" applyFont="1" applyBorder="1" applyAlignment="1" applyProtection="1">
      <alignment horizontal="left" wrapText="1"/>
      <protection locked="0"/>
    </xf>
    <xf numFmtId="169" fontId="45" fillId="0" borderId="0" xfId="3" applyNumberFormat="1" applyFont="1" applyAlignment="1">
      <alignment horizontal="right" vertical="center"/>
    </xf>
    <xf numFmtId="49" fontId="10" fillId="0" borderId="30" xfId="0" applyNumberFormat="1" applyFont="1" applyBorder="1" applyAlignment="1">
      <alignment horizontal="right" wrapText="1"/>
      <protection locked="0"/>
    </xf>
    <xf numFmtId="39" fontId="85"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0" fillId="0" borderId="30" xfId="0" applyNumberFormat="1" applyFont="1" applyBorder="1" applyAlignment="1">
      <alignment horizontal="right"/>
      <protection locked="0"/>
    </xf>
    <xf numFmtId="0" fontId="113" fillId="0" borderId="0" xfId="32" applyFont="1" applyAlignment="1" applyProtection="1">
      <alignment horizontal="left" vertical="center"/>
      <protection locked="0"/>
    </xf>
    <xf numFmtId="49" fontId="56" fillId="0" borderId="30" xfId="32" applyNumberFormat="1" applyFont="1" applyBorder="1" applyAlignment="1" applyProtection="1">
      <alignment horizontal="right" wrapText="1"/>
      <protection locked="0"/>
    </xf>
    <xf numFmtId="0" fontId="142" fillId="0" borderId="0" xfId="32" applyFont="1" applyAlignment="1" applyProtection="1">
      <alignment horizontal="left" vertical="center"/>
      <protection locked="0"/>
    </xf>
    <xf numFmtId="171" fontId="126" fillId="0" borderId="0" xfId="32" applyNumberFormat="1" applyFont="1" applyAlignment="1" applyProtection="1">
      <alignment horizontal="left" vertical="center"/>
      <protection locked="0"/>
    </xf>
    <xf numFmtId="0" fontId="117" fillId="0" borderId="0" xfId="32" applyFont="1" applyAlignment="1" applyProtection="1">
      <alignment horizontal="left" vertical="center"/>
      <protection locked="0"/>
    </xf>
    <xf numFmtId="171" fontId="125" fillId="0" borderId="0" xfId="51" applyNumberFormat="1" applyFill="1" applyAlignment="1" applyProtection="1">
      <alignment horizontal="left" vertical="center"/>
      <protection locked="0"/>
    </xf>
    <xf numFmtId="171" fontId="143" fillId="0" borderId="0" xfId="32" applyNumberFormat="1" applyFont="1" applyAlignment="1" applyProtection="1">
      <alignment horizontal="left" vertical="center"/>
      <protection locked="0"/>
    </xf>
    <xf numFmtId="49" fontId="10" fillId="0" borderId="30" xfId="28" applyNumberFormat="1" applyFont="1" applyBorder="1" applyAlignment="1">
      <alignment horizontal="right" wrapText="1"/>
      <protection locked="0"/>
    </xf>
    <xf numFmtId="0" fontId="13" fillId="0" borderId="0" xfId="28" applyAlignment="1">
      <alignment horizontal="right" vertical="top"/>
      <protection locked="0"/>
    </xf>
    <xf numFmtId="4" fontId="10" fillId="0" borderId="30" xfId="0" applyNumberFormat="1" applyFont="1" applyBorder="1" applyAlignment="1">
      <alignment horizontal="right"/>
      <protection locked="0"/>
    </xf>
    <xf numFmtId="4" fontId="78" fillId="0" borderId="0" xfId="0" applyNumberFormat="1" applyFont="1" applyAlignment="1">
      <alignment horizontal="center" vertical="center"/>
      <protection locked="0"/>
    </xf>
    <xf numFmtId="4" fontId="79" fillId="0" borderId="0" xfId="0" applyNumberFormat="1" applyFont="1" applyAlignment="1">
      <alignment horizontal="center" vertical="center"/>
      <protection locked="0"/>
    </xf>
    <xf numFmtId="49" fontId="68" fillId="0" borderId="30" xfId="0" applyNumberFormat="1" applyFont="1" applyBorder="1" applyAlignment="1">
      <alignment horizontal="right"/>
      <protection locked="0"/>
    </xf>
    <xf numFmtId="49" fontId="68" fillId="0" borderId="30" xfId="0" applyNumberFormat="1" applyFont="1" applyBorder="1" applyAlignment="1">
      <alignment horizontal="left" wrapText="1"/>
      <protection locked="0"/>
    </xf>
    <xf numFmtId="0" fontId="68" fillId="0" borderId="30" xfId="0" applyFont="1" applyBorder="1" applyAlignment="1">
      <alignment horizontal="left" wrapText="1"/>
      <protection locked="0"/>
    </xf>
    <xf numFmtId="0" fontId="0" fillId="0" borderId="30" xfId="0" applyBorder="1" applyAlignment="1">
      <alignment horizontal="left" vertical="top"/>
      <protection locked="0"/>
    </xf>
    <xf numFmtId="49" fontId="74" fillId="0" borderId="30" xfId="0" applyNumberFormat="1" applyFont="1" applyBorder="1" applyAlignment="1">
      <alignment horizontal="right"/>
      <protection locked="0"/>
    </xf>
    <xf numFmtId="0" fontId="74" fillId="0" borderId="30" xfId="0" applyFont="1" applyBorder="1" applyAlignment="1">
      <alignment horizontal="left" wrapText="1"/>
      <protection locked="0"/>
    </xf>
    <xf numFmtId="4" fontId="30"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0" fillId="0" borderId="30" xfId="0" applyNumberFormat="1" applyFont="1" applyBorder="1" applyAlignment="1">
      <alignment horizontal="left" wrapText="1"/>
      <protection locked="0"/>
    </xf>
    <xf numFmtId="4" fontId="10" fillId="7" borderId="30" xfId="0" applyNumberFormat="1" applyFont="1" applyFill="1" applyBorder="1" applyAlignment="1">
      <alignment horizontal="right"/>
      <protection locked="0"/>
    </xf>
    <xf numFmtId="39" fontId="10" fillId="7" borderId="30" xfId="0" applyNumberFormat="1" applyFont="1" applyFill="1" applyBorder="1" applyAlignment="1">
      <alignment horizontal="center"/>
      <protection locked="0"/>
    </xf>
    <xf numFmtId="2" fontId="30" fillId="0" borderId="30" xfId="0" applyNumberFormat="1" applyFont="1" applyBorder="1" applyAlignment="1">
      <alignment horizontal="right"/>
      <protection locked="0"/>
    </xf>
    <xf numFmtId="4" fontId="30" fillId="0" borderId="30" xfId="0" applyNumberFormat="1" applyFont="1" applyBorder="1" applyAlignment="1">
      <alignment horizontal="right"/>
      <protection locked="0"/>
    </xf>
    <xf numFmtId="49" fontId="10" fillId="0" borderId="30" xfId="55" applyNumberFormat="1" applyFont="1" applyBorder="1" applyAlignment="1" applyProtection="1">
      <alignment horizontal="right"/>
      <protection locked="0"/>
    </xf>
    <xf numFmtId="167" fontId="39" fillId="0" borderId="30" xfId="55" applyNumberFormat="1" applyFont="1" applyBorder="1" applyAlignment="1" applyProtection="1">
      <alignment horizontal="right"/>
      <protection locked="0"/>
    </xf>
    <xf numFmtId="39" fontId="39" fillId="7" borderId="30" xfId="55" applyNumberFormat="1" applyFont="1" applyFill="1" applyBorder="1" applyAlignment="1" applyProtection="1">
      <alignment horizontal="right"/>
      <protection locked="0"/>
    </xf>
    <xf numFmtId="39" fontId="10" fillId="7" borderId="30" xfId="55" applyNumberFormat="1" applyFont="1" applyFill="1" applyBorder="1" applyAlignment="1" applyProtection="1">
      <alignment horizontal="center"/>
      <protection locked="0"/>
    </xf>
    <xf numFmtId="0" fontId="66" fillId="0" borderId="0" xfId="0" applyFont="1" applyAlignment="1">
      <alignment horizontal="right" vertical="top"/>
      <protection locked="0"/>
    </xf>
    <xf numFmtId="0" fontId="0" fillId="7" borderId="0" xfId="0" applyFill="1" applyAlignment="1">
      <alignment horizontal="left" vertical="top"/>
      <protection locked="0"/>
    </xf>
    <xf numFmtId="0" fontId="66" fillId="0" borderId="0" xfId="0" applyFont="1" applyAlignment="1">
      <alignment horizontal="left" vertical="top"/>
      <protection locked="0"/>
    </xf>
    <xf numFmtId="0" fontId="119" fillId="0" borderId="0" xfId="0" applyFont="1" applyAlignment="1">
      <alignment horizontal="left" vertical="top"/>
      <protection locked="0"/>
    </xf>
    <xf numFmtId="0" fontId="34" fillId="0" borderId="0" xfId="0" applyFont="1" applyAlignment="1">
      <alignment horizontal="left" vertical="top"/>
      <protection locked="0"/>
    </xf>
    <xf numFmtId="0" fontId="115" fillId="0" borderId="0" xfId="0" applyFont="1" applyAlignment="1">
      <alignment horizontal="left" vertical="top"/>
      <protection locked="0"/>
    </xf>
    <xf numFmtId="171" fontId="144" fillId="0" borderId="0" xfId="32" applyNumberFormat="1" applyFont="1" applyAlignment="1" applyProtection="1">
      <alignment horizontal="left" vertical="center"/>
      <protection locked="0"/>
    </xf>
    <xf numFmtId="49" fontId="87" fillId="0" borderId="30" xfId="0" applyNumberFormat="1" applyFont="1" applyBorder="1" applyAlignment="1">
      <alignment horizontal="left" wrapText="1"/>
      <protection locked="0"/>
    </xf>
    <xf numFmtId="2" fontId="74" fillId="5" borderId="30" xfId="0" applyNumberFormat="1" applyFont="1" applyFill="1" applyBorder="1" applyAlignment="1">
      <alignment horizontal="right"/>
      <protection locked="0"/>
    </xf>
    <xf numFmtId="0" fontId="13" fillId="0" borderId="0" xfId="0" applyFont="1" applyAlignment="1">
      <alignment horizontal="right" vertical="center"/>
      <protection locked="0"/>
    </xf>
    <xf numFmtId="0" fontId="13" fillId="0" borderId="0" xfId="0" applyFont="1" applyAlignment="1">
      <alignment horizontal="left" vertical="center"/>
      <protection locked="0"/>
    </xf>
    <xf numFmtId="37" fontId="10" fillId="0" borderId="0" xfId="0" applyNumberFormat="1" applyFont="1" applyAlignment="1">
      <alignment horizontal="right" vertical="center"/>
      <protection locked="0"/>
    </xf>
    <xf numFmtId="0" fontId="10" fillId="0" borderId="0" xfId="0" applyFont="1" applyAlignment="1">
      <alignment horizontal="left" vertical="center" wrapText="1"/>
      <protection locked="0"/>
    </xf>
    <xf numFmtId="0" fontId="30" fillId="0" borderId="0" xfId="0" applyFont="1" applyAlignment="1">
      <alignment horizontal="left" vertical="center" wrapText="1"/>
      <protection locked="0"/>
    </xf>
    <xf numFmtId="0" fontId="62" fillId="0" borderId="0" xfId="0" applyFont="1" applyAlignment="1">
      <alignment horizontal="right" vertical="center"/>
      <protection locked="0"/>
    </xf>
    <xf numFmtId="0" fontId="30" fillId="0" borderId="30" xfId="0" applyFont="1" applyBorder="1" applyAlignment="1" applyProtection="1">
      <alignment horizontal="left" wrapText="1"/>
    </xf>
    <xf numFmtId="0" fontId="0" fillId="0" borderId="0" xfId="0" applyAlignment="1">
      <alignment horizontal="right" vertical="center"/>
      <protection locked="0"/>
    </xf>
    <xf numFmtId="167" fontId="30" fillId="0" borderId="30" xfId="0" applyNumberFormat="1" applyFont="1" applyBorder="1" applyAlignment="1">
      <protection locked="0"/>
    </xf>
    <xf numFmtId="0" fontId="30" fillId="0" borderId="30" xfId="0" applyFont="1" applyBorder="1" applyAlignment="1">
      <alignment horizontal="left" vertical="center" wrapText="1"/>
      <protection locked="0"/>
    </xf>
    <xf numFmtId="0" fontId="50" fillId="0" borderId="30" xfId="0" applyFont="1" applyBorder="1" applyAlignment="1">
      <alignment horizontal="left" wrapText="1"/>
      <protection locked="0"/>
    </xf>
    <xf numFmtId="167" fontId="30" fillId="0" borderId="0" xfId="0" applyNumberFormat="1" applyFont="1" applyAlignment="1">
      <protection locked="0"/>
    </xf>
    <xf numFmtId="39" fontId="50" fillId="0" borderId="30" xfId="0" applyNumberFormat="1" applyFont="1" applyBorder="1" applyAlignment="1">
      <alignment horizontal="right"/>
      <protection locked="0"/>
    </xf>
    <xf numFmtId="39" fontId="50" fillId="0" borderId="30" xfId="0" applyNumberFormat="1" applyFont="1" applyBorder="1" applyAlignment="1">
      <alignment horizontal="center"/>
      <protection locked="0"/>
    </xf>
    <xf numFmtId="0" fontId="89" fillId="7" borderId="30" xfId="3" applyFont="1" applyFill="1" applyBorder="1" applyAlignment="1" applyProtection="1">
      <alignment horizontal="left" vertical="top"/>
      <protection locked="0"/>
    </xf>
    <xf numFmtId="0" fontId="28" fillId="0" borderId="39" xfId="3" applyFont="1" applyBorder="1" applyAlignment="1" applyProtection="1">
      <alignment vertical="center"/>
      <protection locked="0"/>
    </xf>
    <xf numFmtId="49" fontId="10" fillId="0" borderId="30" xfId="40" applyNumberFormat="1" applyFont="1" applyBorder="1" applyAlignment="1">
      <alignment horizontal="right"/>
      <protection locked="0"/>
    </xf>
    <xf numFmtId="0" fontId="10" fillId="0" borderId="30" xfId="40" applyFont="1" applyBorder="1" applyAlignment="1">
      <alignment horizontal="left" wrapText="1"/>
      <protection locked="0"/>
    </xf>
    <xf numFmtId="4" fontId="10" fillId="0" borderId="30" xfId="40" applyNumberFormat="1" applyFont="1" applyBorder="1" applyAlignment="1">
      <alignment horizontal="right"/>
      <protection locked="0"/>
    </xf>
    <xf numFmtId="0" fontId="102" fillId="0" borderId="0" xfId="3" applyFont="1" applyAlignment="1" applyProtection="1">
      <alignment horizontal="left" vertical="center"/>
      <protection locked="0"/>
    </xf>
    <xf numFmtId="4" fontId="87" fillId="0" borderId="30" xfId="3" applyNumberFormat="1" applyFont="1" applyBorder="1" applyAlignment="1" applyProtection="1">
      <alignment horizontal="right"/>
      <protection locked="0"/>
    </xf>
    <xf numFmtId="49" fontId="10" fillId="0" borderId="30" xfId="45" applyNumberFormat="1" applyFont="1" applyBorder="1" applyAlignment="1">
      <alignment horizontal="right"/>
      <protection locked="0"/>
    </xf>
    <xf numFmtId="0" fontId="10" fillId="0" borderId="30" xfId="45" applyFont="1" applyBorder="1" applyAlignment="1">
      <alignment horizontal="left" wrapText="1"/>
      <protection locked="0"/>
    </xf>
    <xf numFmtId="0" fontId="33" fillId="0" borderId="0" xfId="45" applyAlignment="1">
      <protection locked="0"/>
    </xf>
    <xf numFmtId="39" fontId="10" fillId="0" borderId="30" xfId="45" applyNumberFormat="1" applyFont="1" applyBorder="1" applyAlignment="1">
      <alignment horizontal="center"/>
      <protection locked="0"/>
    </xf>
    <xf numFmtId="0" fontId="72" fillId="0" borderId="0" xfId="45" applyFont="1" applyAlignment="1">
      <alignment vertical="center"/>
      <protection locked="0"/>
    </xf>
    <xf numFmtId="4" fontId="68" fillId="0" borderId="30" xfId="45" applyNumberFormat="1" applyFont="1" applyBorder="1" applyAlignment="1">
      <alignment horizontal="right"/>
      <protection locked="0"/>
    </xf>
    <xf numFmtId="49" fontId="30" fillId="0" borderId="30" xfId="45" applyNumberFormat="1" applyFont="1" applyBorder="1" applyAlignment="1">
      <alignment horizontal="right"/>
      <protection locked="0"/>
    </xf>
    <xf numFmtId="167" fontId="101" fillId="0" borderId="30" xfId="45" applyNumberFormat="1" applyFont="1" applyBorder="1" applyAlignment="1">
      <alignment horizontal="right" wrapText="1"/>
      <protection locked="0"/>
    </xf>
    <xf numFmtId="0" fontId="33" fillId="0" borderId="0" xfId="45" applyAlignment="1">
      <alignment vertical="center"/>
      <protection locked="0"/>
    </xf>
    <xf numFmtId="0" fontId="74" fillId="0" borderId="30" xfId="45" applyFont="1" applyBorder="1" applyAlignment="1">
      <alignment horizontal="left" wrapText="1"/>
      <protection locked="0"/>
    </xf>
    <xf numFmtId="4" fontId="30" fillId="5" borderId="30" xfId="56" applyNumberFormat="1" applyFont="1" applyFill="1" applyBorder="1" applyAlignment="1" applyProtection="1">
      <alignment horizontal="right"/>
      <protection locked="0"/>
    </xf>
    <xf numFmtId="0" fontId="54" fillId="0" borderId="0" xfId="45" applyFont="1" applyAlignment="1">
      <alignment horizontal="left" vertical="center"/>
      <protection locked="0"/>
    </xf>
    <xf numFmtId="4" fontId="10" fillId="0" borderId="30" xfId="45" applyNumberFormat="1" applyFont="1" applyBorder="1" applyAlignment="1">
      <alignment horizontal="right"/>
      <protection locked="0"/>
    </xf>
    <xf numFmtId="0" fontId="33" fillId="0" borderId="30" xfId="45" applyBorder="1" applyAlignment="1">
      <alignment horizontal="left" vertical="top"/>
      <protection locked="0"/>
    </xf>
    <xf numFmtId="2" fontId="145" fillId="0" borderId="0" xfId="45" applyNumberFormat="1" applyFont="1" applyAlignment="1">
      <alignment vertical="center"/>
      <protection locked="0"/>
    </xf>
    <xf numFmtId="2" fontId="33" fillId="0" borderId="0" xfId="45" applyNumberFormat="1" applyAlignment="1">
      <alignment horizontal="left" vertical="center"/>
      <protection locked="0"/>
    </xf>
    <xf numFmtId="2" fontId="33" fillId="0" borderId="0" xfId="45" applyNumberFormat="1" applyAlignment="1">
      <alignment vertical="top"/>
      <protection locked="0"/>
    </xf>
    <xf numFmtId="2" fontId="33" fillId="0" borderId="30" xfId="45" applyNumberFormat="1" applyBorder="1" applyAlignment="1">
      <alignment horizontal="left" vertical="top"/>
      <protection locked="0"/>
    </xf>
    <xf numFmtId="0" fontId="102" fillId="0" borderId="0" xfId="45" applyFont="1" applyAlignment="1">
      <alignment horizontal="left" vertical="center"/>
      <protection locked="0"/>
    </xf>
    <xf numFmtId="2" fontId="64" fillId="0" borderId="0" xfId="45" applyNumberFormat="1" applyFont="1" applyAlignment="1">
      <alignment horizontal="right" vertical="center"/>
      <protection locked="0"/>
    </xf>
    <xf numFmtId="49" fontId="10" fillId="0" borderId="30" xfId="45" applyNumberFormat="1" applyFont="1" applyBorder="1" applyAlignment="1">
      <alignment horizontal="left" wrapText="1"/>
      <protection locked="0"/>
    </xf>
    <xf numFmtId="0" fontId="10" fillId="0" borderId="30" xfId="45" applyFont="1" applyBorder="1" applyAlignment="1" applyProtection="1">
      <alignment horizontal="left" wrapText="1"/>
    </xf>
    <xf numFmtId="0" fontId="10" fillId="0" borderId="30" xfId="45" applyFont="1" applyBorder="1" applyAlignment="1" applyProtection="1">
      <alignment horizontal="left" shrinkToFit="1"/>
    </xf>
    <xf numFmtId="4" fontId="69" fillId="0" borderId="0" xfId="45" applyNumberFormat="1" applyFont="1" applyAlignment="1">
      <alignment horizontal="left" vertical="top"/>
      <protection locked="0"/>
    </xf>
    <xf numFmtId="167" fontId="69" fillId="0" borderId="0" xfId="45" applyNumberFormat="1" applyFont="1" applyAlignment="1">
      <alignment horizontal="left" vertical="top"/>
      <protection locked="0"/>
    </xf>
    <xf numFmtId="39" fontId="39" fillId="0" borderId="30" xfId="45" applyNumberFormat="1" applyFont="1" applyBorder="1" applyAlignment="1">
      <alignment horizontal="center"/>
      <protection locked="0"/>
    </xf>
    <xf numFmtId="4" fontId="123" fillId="0" borderId="0" xfId="3" applyNumberFormat="1" applyFont="1" applyAlignment="1">
      <alignment vertical="center"/>
    </xf>
    <xf numFmtId="37" fontId="88" fillId="0" borderId="0" xfId="55" applyNumberFormat="1" applyFont="1" applyAlignment="1" applyProtection="1">
      <alignment horizontal="right"/>
      <protection locked="0"/>
    </xf>
    <xf numFmtId="0" fontId="88" fillId="0" borderId="0" xfId="55" applyFont="1" applyAlignment="1" applyProtection="1">
      <alignment horizontal="left" wrapText="1"/>
      <protection locked="0"/>
    </xf>
    <xf numFmtId="170" fontId="88" fillId="0" borderId="0" xfId="55" applyNumberFormat="1" applyFont="1" applyAlignment="1" applyProtection="1">
      <alignment horizontal="right"/>
      <protection locked="0"/>
    </xf>
    <xf numFmtId="39" fontId="88" fillId="0" borderId="0" xfId="55" applyNumberFormat="1" applyFont="1" applyAlignment="1" applyProtection="1">
      <alignment horizontal="right"/>
      <protection locked="0"/>
    </xf>
    <xf numFmtId="37" fontId="10" fillId="0" borderId="21" xfId="55" applyNumberFormat="1" applyFont="1" applyBorder="1" applyAlignment="1" applyProtection="1">
      <alignment horizontal="right"/>
      <protection locked="0"/>
    </xf>
    <xf numFmtId="0" fontId="10" fillId="0" borderId="21" xfId="55" applyFont="1" applyBorder="1" applyAlignment="1" applyProtection="1">
      <alignment horizontal="left" wrapText="1"/>
      <protection locked="0"/>
    </xf>
    <xf numFmtId="0" fontId="10" fillId="0" borderId="21" xfId="55" applyFont="1" applyBorder="1" applyAlignment="1" applyProtection="1">
      <alignment horizontal="center" wrapText="1"/>
      <protection locked="0"/>
    </xf>
    <xf numFmtId="170" fontId="10" fillId="0" borderId="21" xfId="55" applyNumberFormat="1" applyFont="1" applyBorder="1" applyAlignment="1" applyProtection="1">
      <alignment horizontal="right"/>
      <protection locked="0"/>
    </xf>
    <xf numFmtId="39" fontId="10" fillId="0" borderId="21" xfId="55" applyNumberFormat="1" applyFont="1" applyBorder="1" applyAlignment="1" applyProtection="1">
      <alignment horizontal="right"/>
      <protection locked="0"/>
    </xf>
    <xf numFmtId="0" fontId="89" fillId="0" borderId="0" xfId="55" applyFont="1" applyAlignment="1" applyProtection="1">
      <alignment horizontal="left" vertical="top"/>
      <protection locked="0"/>
    </xf>
    <xf numFmtId="0" fontId="39" fillId="0" borderId="32" xfId="55" applyFont="1" applyBorder="1" applyAlignment="1" applyProtection="1">
      <alignment horizontal="left"/>
      <protection locked="0"/>
    </xf>
    <xf numFmtId="0" fontId="68" fillId="0" borderId="33" xfId="55" applyFont="1" applyBorder="1" applyAlignment="1" applyProtection="1">
      <alignment horizontal="center"/>
      <protection locked="0"/>
    </xf>
    <xf numFmtId="170" fontId="68" fillId="0" borderId="33" xfId="55" applyNumberFormat="1" applyFont="1" applyBorder="1" applyAlignment="1" applyProtection="1">
      <alignment horizontal="right"/>
      <protection locked="0"/>
    </xf>
    <xf numFmtId="39" fontId="10" fillId="0" borderId="33" xfId="55" applyNumberFormat="1" applyFont="1" applyBorder="1" applyAlignment="1" applyProtection="1">
      <alignment horizontal="right"/>
      <protection locked="0"/>
    </xf>
    <xf numFmtId="39" fontId="50" fillId="0" borderId="0" xfId="55" applyNumberFormat="1" applyFont="1" applyAlignment="1" applyProtection="1">
      <alignment horizontal="center"/>
      <protection locked="0"/>
    </xf>
    <xf numFmtId="37" fontId="68" fillId="0" borderId="0" xfId="55" applyNumberFormat="1" applyFont="1" applyAlignment="1" applyProtection="1">
      <alignment horizontal="right"/>
      <protection locked="0"/>
    </xf>
    <xf numFmtId="0" fontId="68" fillId="0" borderId="0" xfId="55" applyFont="1" applyAlignment="1" applyProtection="1">
      <alignment horizontal="left" wrapText="1"/>
      <protection locked="0"/>
    </xf>
    <xf numFmtId="0" fontId="10" fillId="0" borderId="0" xfId="55" applyFont="1" applyAlignment="1" applyProtection="1">
      <alignment horizontal="left" wrapText="1"/>
      <protection locked="0"/>
    </xf>
    <xf numFmtId="0" fontId="68" fillId="0" borderId="0" xfId="55" applyFont="1" applyAlignment="1" applyProtection="1">
      <alignment horizontal="center" wrapText="1"/>
      <protection locked="0"/>
    </xf>
    <xf numFmtId="170" fontId="68" fillId="0" borderId="0" xfId="55" applyNumberFormat="1" applyFont="1" applyAlignment="1" applyProtection="1">
      <alignment horizontal="right"/>
      <protection locked="0"/>
    </xf>
    <xf numFmtId="39" fontId="68" fillId="0" borderId="0" xfId="55" applyNumberFormat="1" applyFont="1" applyAlignment="1" applyProtection="1">
      <alignment horizontal="right"/>
      <protection locked="0"/>
    </xf>
    <xf numFmtId="39" fontId="10" fillId="0" borderId="0" xfId="55" applyNumberFormat="1" applyFont="1" applyAlignment="1" applyProtection="1">
      <alignment horizontal="right"/>
      <protection locked="0"/>
    </xf>
    <xf numFmtId="39" fontId="10" fillId="0" borderId="0" xfId="55" applyNumberFormat="1" applyFont="1" applyAlignment="1" applyProtection="1">
      <alignment horizontal="center"/>
      <protection locked="0"/>
    </xf>
    <xf numFmtId="37" fontId="18" fillId="0" borderId="0" xfId="55" applyNumberFormat="1" applyFont="1" applyAlignment="1" applyProtection="1">
      <alignment horizontal="left" vertical="center"/>
      <protection locked="0"/>
    </xf>
    <xf numFmtId="0" fontId="146" fillId="0" borderId="0" xfId="55" applyFont="1" applyAlignment="1" applyProtection="1">
      <alignment horizontal="center" vertical="center" wrapText="1"/>
      <protection locked="0"/>
    </xf>
    <xf numFmtId="0" fontId="45" fillId="0" borderId="0" xfId="48" applyFont="1" applyAlignment="1">
      <alignment horizontal="left" vertical="center" wrapText="1"/>
      <protection locked="0"/>
    </xf>
    <xf numFmtId="0" fontId="39" fillId="0" borderId="0" xfId="55" applyFont="1" applyAlignment="1" applyProtection="1">
      <alignment horizontal="left" vertical="center"/>
      <protection locked="0"/>
    </xf>
    <xf numFmtId="2" fontId="39" fillId="0" borderId="0" xfId="55" applyNumberFormat="1" applyFont="1" applyAlignment="1" applyProtection="1">
      <alignment horizontal="right"/>
      <protection locked="0"/>
    </xf>
    <xf numFmtId="37" fontId="39" fillId="0" borderId="0" xfId="55" applyNumberFormat="1" applyFont="1" applyAlignment="1" applyProtection="1">
      <alignment horizontal="right"/>
      <protection locked="0"/>
    </xf>
    <xf numFmtId="0" fontId="39" fillId="0" borderId="0" xfId="55" applyFont="1" applyAlignment="1" applyProtection="1">
      <alignment horizontal="left" wrapText="1"/>
      <protection locked="0"/>
    </xf>
    <xf numFmtId="0" fontId="40" fillId="0" borderId="0" xfId="55" applyAlignment="1" applyProtection="1">
      <alignment vertical="top"/>
      <protection locked="0"/>
    </xf>
    <xf numFmtId="0" fontId="55" fillId="0" borderId="0" xfId="55" applyFont="1" applyAlignment="1" applyProtection="1">
      <alignment horizontal="left" vertical="top"/>
      <protection locked="0"/>
    </xf>
    <xf numFmtId="0" fontId="89" fillId="0" borderId="0" xfId="55" applyFont="1" applyAlignment="1" applyProtection="1">
      <alignment vertical="top"/>
      <protection locked="0"/>
    </xf>
    <xf numFmtId="2" fontId="89" fillId="0" borderId="0" xfId="55" applyNumberFormat="1" applyFont="1" applyAlignment="1" applyProtection="1">
      <alignment vertical="top"/>
      <protection locked="0"/>
    </xf>
    <xf numFmtId="2" fontId="50" fillId="0" borderId="0" xfId="55" applyNumberFormat="1" applyFont="1" applyAlignment="1" applyProtection="1">
      <alignment horizontal="center"/>
      <protection locked="0"/>
    </xf>
    <xf numFmtId="0" fontId="13" fillId="0" borderId="0" xfId="55" applyFont="1" applyAlignment="1" applyProtection="1">
      <alignment vertical="top"/>
      <protection locked="0"/>
    </xf>
    <xf numFmtId="0" fontId="38" fillId="0" borderId="0" xfId="52" applyFont="1" applyAlignment="1">
      <alignment horizontal="left"/>
    </xf>
    <xf numFmtId="0" fontId="45" fillId="0" borderId="0" xfId="52" applyFont="1" applyAlignment="1">
      <alignment horizontal="left"/>
    </xf>
    <xf numFmtId="0" fontId="38" fillId="0" borderId="0" xfId="52" applyFont="1" applyAlignment="1">
      <alignment horizontal="center"/>
    </xf>
    <xf numFmtId="0" fontId="46" fillId="0" borderId="0" xfId="52" applyFont="1" applyAlignment="1">
      <alignment horizontal="right" vertical="top"/>
    </xf>
    <xf numFmtId="0" fontId="47" fillId="0" borderId="31" xfId="52" applyFont="1" applyBorder="1" applyAlignment="1">
      <alignment horizontal="center" vertical="center" wrapText="1"/>
    </xf>
    <xf numFmtId="0" fontId="47" fillId="0" borderId="12" xfId="52" applyFont="1" applyBorder="1" applyAlignment="1">
      <alignment horizontal="center" vertical="center" wrapText="1"/>
    </xf>
    <xf numFmtId="0" fontId="125" fillId="0" borderId="0" xfId="51" applyFill="1" applyAlignment="1" applyProtection="1"/>
    <xf numFmtId="37" fontId="39" fillId="0" borderId="0" xfId="52" applyNumberFormat="1" applyFont="1" applyAlignment="1">
      <alignment horizontal="right"/>
    </xf>
    <xf numFmtId="0" fontId="39" fillId="0" borderId="0" xfId="52" applyFont="1" applyAlignment="1">
      <alignment horizontal="left" wrapText="1"/>
    </xf>
    <xf numFmtId="170" fontId="39" fillId="0" borderId="0" xfId="52" applyNumberFormat="1" applyFont="1" applyAlignment="1">
      <alignment horizontal="right"/>
    </xf>
    <xf numFmtId="4" fontId="39" fillId="0" borderId="0" xfId="52" applyNumberFormat="1" applyFont="1" applyAlignment="1">
      <alignment horizontal="right"/>
    </xf>
    <xf numFmtId="0" fontId="9" fillId="0" borderId="0" xfId="52" applyAlignment="1">
      <alignment horizontal="left" vertical="top"/>
    </xf>
    <xf numFmtId="167" fontId="10" fillId="0" borderId="30" xfId="57" applyNumberFormat="1" applyFont="1" applyBorder="1" applyAlignment="1" applyProtection="1">
      <alignment horizontal="right"/>
      <protection locked="0"/>
    </xf>
    <xf numFmtId="167" fontId="56" fillId="0" borderId="30" xfId="57" applyNumberFormat="1" applyFont="1" applyBorder="1" applyAlignment="1" applyProtection="1">
      <alignment horizontal="right"/>
      <protection locked="0"/>
    </xf>
    <xf numFmtId="37" fontId="39" fillId="0" borderId="30" xfId="52" applyNumberFormat="1" applyFont="1" applyBorder="1" applyAlignment="1" applyProtection="1">
      <alignment horizontal="right"/>
      <protection locked="0"/>
    </xf>
    <xf numFmtId="49" fontId="39" fillId="0" borderId="30" xfId="52" applyNumberFormat="1" applyFont="1" applyBorder="1" applyAlignment="1" applyProtection="1">
      <alignment horizontal="left" wrapText="1"/>
      <protection locked="0"/>
    </xf>
    <xf numFmtId="39" fontId="39" fillId="0" borderId="30" xfId="52" applyNumberFormat="1" applyFont="1" applyBorder="1" applyAlignment="1" applyProtection="1">
      <alignment horizontal="right"/>
      <protection locked="0"/>
    </xf>
    <xf numFmtId="0" fontId="96" fillId="0" borderId="30" xfId="52" applyFont="1" applyBorder="1" applyAlignment="1" applyProtection="1">
      <alignment horizontal="right" vertical="center"/>
      <protection locked="0"/>
    </xf>
    <xf numFmtId="49" fontId="10" fillId="0" borderId="30" xfId="52" applyNumberFormat="1" applyFont="1" applyBorder="1" applyAlignment="1">
      <alignment horizontal="right" wrapText="1"/>
    </xf>
    <xf numFmtId="49" fontId="10" fillId="0" borderId="30" xfId="49" applyNumberFormat="1" applyFont="1" applyBorder="1" applyAlignment="1" applyProtection="1">
      <alignment horizontal="left" wrapText="1"/>
      <protection locked="0"/>
    </xf>
    <xf numFmtId="0" fontId="10" fillId="0" borderId="30" xfId="52" applyFont="1" applyBorder="1" applyAlignment="1">
      <alignment horizontal="left" wrapText="1"/>
    </xf>
    <xf numFmtId="39" fontId="10" fillId="0" borderId="30" xfId="52" applyNumberFormat="1" applyFont="1" applyBorder="1" applyAlignment="1">
      <alignment horizontal="right"/>
    </xf>
    <xf numFmtId="49" fontId="10" fillId="0" borderId="30" xfId="52" applyNumberFormat="1" applyFont="1" applyBorder="1" applyAlignment="1">
      <alignment horizontal="left" wrapText="1"/>
    </xf>
    <xf numFmtId="0" fontId="74" fillId="0" borderId="30" xfId="44" applyFont="1" applyBorder="1" applyAlignment="1">
      <alignment horizontal="left" wrapText="1"/>
      <protection locked="0"/>
    </xf>
    <xf numFmtId="167" fontId="30" fillId="0" borderId="30" xfId="52" applyNumberFormat="1" applyFont="1" applyBorder="1" applyAlignment="1">
      <alignment horizontal="right"/>
    </xf>
    <xf numFmtId="0" fontId="9" fillId="0" borderId="30" xfId="52" applyBorder="1" applyAlignment="1">
      <alignment vertical="top"/>
    </xf>
    <xf numFmtId="37" fontId="10" fillId="0" borderId="30" xfId="49" applyNumberFormat="1" applyFont="1" applyBorder="1" applyAlignment="1" applyProtection="1">
      <alignment horizontal="right"/>
      <protection locked="0"/>
    </xf>
    <xf numFmtId="0" fontId="10" fillId="0" borderId="30" xfId="49" applyFont="1" applyBorder="1" applyAlignment="1" applyProtection="1">
      <alignment horizontal="left" wrapText="1"/>
      <protection locked="0"/>
    </xf>
    <xf numFmtId="39" fontId="10" fillId="0" borderId="30" xfId="49" applyNumberFormat="1" applyFont="1" applyBorder="1" applyAlignment="1" applyProtection="1">
      <alignment horizontal="right"/>
      <protection locked="0"/>
    </xf>
    <xf numFmtId="0" fontId="105" fillId="0" borderId="0" xfId="49" applyFont="1" applyAlignment="1" applyProtection="1">
      <alignment horizontal="left" vertical="center"/>
      <protection locked="0"/>
    </xf>
    <xf numFmtId="0" fontId="40" fillId="0" borderId="0" xfId="49" applyAlignment="1" applyProtection="1">
      <alignment horizontal="left" vertical="center"/>
      <protection locked="0"/>
    </xf>
    <xf numFmtId="37" fontId="30" fillId="0" borderId="30" xfId="49" applyNumberFormat="1" applyFont="1" applyBorder="1" applyAlignment="1" applyProtection="1">
      <alignment horizontal="right"/>
      <protection locked="0"/>
    </xf>
    <xf numFmtId="0" fontId="30" fillId="0" borderId="30" xfId="49" applyFont="1" applyBorder="1" applyAlignment="1" applyProtection="1">
      <alignment horizontal="left" wrapText="1"/>
      <protection locked="0"/>
    </xf>
    <xf numFmtId="167" fontId="30" fillId="0" borderId="30" xfId="49" applyNumberFormat="1" applyFont="1" applyBorder="1" applyAlignment="1" applyProtection="1">
      <alignment horizontal="right"/>
      <protection locked="0"/>
    </xf>
    <xf numFmtId="39" fontId="30" fillId="0" borderId="30" xfId="49" applyNumberFormat="1" applyFont="1" applyBorder="1" applyAlignment="1" applyProtection="1">
      <alignment horizontal="right"/>
      <protection locked="0"/>
    </xf>
    <xf numFmtId="0" fontId="40" fillId="0" borderId="30" xfId="49" applyBorder="1" applyAlignment="1" applyProtection="1">
      <alignment horizontal="center" vertical="top"/>
      <protection locked="0"/>
    </xf>
    <xf numFmtId="0" fontId="55" fillId="0" borderId="0" xfId="49" applyFont="1" applyAlignment="1" applyProtection="1">
      <alignment horizontal="left" vertical="top"/>
      <protection locked="0"/>
    </xf>
    <xf numFmtId="4" fontId="39" fillId="0" borderId="30" xfId="25" applyNumberFormat="1" applyFont="1" applyBorder="1" applyAlignment="1" applyProtection="1">
      <alignment horizontal="right"/>
      <protection locked="0"/>
    </xf>
    <xf numFmtId="0" fontId="125" fillId="0" borderId="0" xfId="51" applyFill="1" applyAlignment="1" applyProtection="1">
      <alignment horizontal="left" vertical="top"/>
      <protection locked="0"/>
    </xf>
    <xf numFmtId="0" fontId="67" fillId="0" borderId="0" xfId="51" applyFont="1" applyFill="1" applyAlignment="1" applyProtection="1">
      <alignment horizontal="left" vertical="center"/>
      <protection locked="0"/>
    </xf>
    <xf numFmtId="37" fontId="88" fillId="0" borderId="0" xfId="52" applyNumberFormat="1" applyFont="1" applyAlignment="1">
      <alignment horizontal="right"/>
    </xf>
    <xf numFmtId="0" fontId="88" fillId="0" borderId="0" xfId="52" applyFont="1" applyAlignment="1">
      <alignment horizontal="left" wrapText="1"/>
    </xf>
    <xf numFmtId="170" fontId="88" fillId="0" borderId="0" xfId="52" applyNumberFormat="1" applyFont="1" applyAlignment="1">
      <alignment horizontal="right"/>
    </xf>
    <xf numFmtId="39" fontId="88" fillId="0" borderId="0" xfId="52" applyNumberFormat="1" applyFont="1" applyAlignment="1">
      <alignment horizontal="right"/>
    </xf>
    <xf numFmtId="37" fontId="10" fillId="0" borderId="21" xfId="52" applyNumberFormat="1" applyFont="1" applyBorder="1" applyAlignment="1">
      <alignment horizontal="right"/>
    </xf>
    <xf numFmtId="0" fontId="10" fillId="0" borderId="21" xfId="52" applyFont="1" applyBorder="1" applyAlignment="1">
      <alignment horizontal="left" wrapText="1"/>
    </xf>
    <xf numFmtId="0" fontId="10" fillId="0" borderId="21" xfId="52" applyFont="1" applyBorder="1" applyAlignment="1">
      <alignment horizontal="center" wrapText="1"/>
    </xf>
    <xf numFmtId="170" fontId="10" fillId="0" borderId="21" xfId="52" applyNumberFormat="1" applyFont="1" applyBorder="1" applyAlignment="1">
      <alignment horizontal="right"/>
    </xf>
    <xf numFmtId="39" fontId="10" fillId="0" borderId="21" xfId="52" applyNumberFormat="1" applyFont="1" applyBorder="1" applyAlignment="1">
      <alignment horizontal="right"/>
    </xf>
    <xf numFmtId="0" fontId="89" fillId="0" borderId="0" xfId="52" applyFont="1" applyAlignment="1">
      <alignment horizontal="left" vertical="top"/>
    </xf>
    <xf numFmtId="0" fontId="39" fillId="0" borderId="32" xfId="52" applyFont="1" applyBorder="1" applyAlignment="1">
      <alignment horizontal="left"/>
    </xf>
    <xf numFmtId="0" fontId="68" fillId="0" borderId="33" xfId="52" applyFont="1" applyBorder="1" applyAlignment="1">
      <alignment horizontal="center"/>
    </xf>
    <xf numFmtId="170" fontId="68" fillId="0" borderId="33" xfId="52" applyNumberFormat="1" applyFont="1" applyBorder="1" applyAlignment="1">
      <alignment horizontal="right"/>
    </xf>
    <xf numFmtId="39" fontId="10" fillId="0" borderId="33" xfId="52" applyNumberFormat="1" applyFont="1" applyBorder="1" applyAlignment="1">
      <alignment horizontal="right"/>
    </xf>
    <xf numFmtId="39" fontId="50" fillId="0" borderId="0" xfId="52" applyNumberFormat="1" applyFont="1" applyAlignment="1">
      <alignment horizontal="center"/>
    </xf>
    <xf numFmtId="37" fontId="68" fillId="0" borderId="0" xfId="52" applyNumberFormat="1" applyFont="1" applyAlignment="1">
      <alignment horizontal="right"/>
    </xf>
    <xf numFmtId="0" fontId="68" fillId="0" borderId="0" xfId="52" applyFont="1" applyAlignment="1">
      <alignment horizontal="left" wrapText="1"/>
    </xf>
    <xf numFmtId="0" fontId="10" fillId="0" borderId="0" xfId="52" applyFont="1" applyAlignment="1">
      <alignment horizontal="left" wrapText="1"/>
    </xf>
    <xf numFmtId="0" fontId="68" fillId="0" borderId="0" xfId="52" applyFont="1" applyAlignment="1">
      <alignment horizontal="center" wrapText="1"/>
    </xf>
    <xf numFmtId="170" fontId="68" fillId="0" borderId="0" xfId="52" applyNumberFormat="1" applyFont="1" applyAlignment="1">
      <alignment horizontal="right"/>
    </xf>
    <xf numFmtId="39" fontId="68" fillId="0" borderId="0" xfId="52" applyNumberFormat="1" applyFont="1" applyAlignment="1">
      <alignment horizontal="right"/>
    </xf>
    <xf numFmtId="39" fontId="10" fillId="0" borderId="0" xfId="52" applyNumberFormat="1" applyFont="1" applyAlignment="1">
      <alignment horizontal="right"/>
    </xf>
    <xf numFmtId="49" fontId="56" fillId="0" borderId="30" xfId="3" applyNumberFormat="1" applyFont="1" applyBorder="1" applyAlignment="1" applyProtection="1">
      <alignment horizontal="right" wrapText="1"/>
      <protection locked="0"/>
    </xf>
    <xf numFmtId="49" fontId="56" fillId="0" borderId="30" xfId="3" applyNumberFormat="1" applyFont="1" applyBorder="1" applyAlignment="1" applyProtection="1">
      <alignment horizontal="left" wrapText="1"/>
      <protection locked="0"/>
    </xf>
    <xf numFmtId="0" fontId="59" fillId="0" borderId="30" xfId="0" applyFont="1" applyBorder="1" applyAlignment="1">
      <alignment horizontal="left" wrapText="1"/>
      <protection locked="0"/>
    </xf>
    <xf numFmtId="0" fontId="58" fillId="0" borderId="30" xfId="3" applyFont="1" applyBorder="1" applyAlignment="1" applyProtection="1">
      <alignment vertical="top"/>
      <protection locked="0"/>
    </xf>
    <xf numFmtId="0" fontId="130" fillId="0" borderId="0" xfId="3" applyFont="1" applyAlignment="1" applyProtection="1">
      <alignment horizontal="left" vertical="center"/>
      <protection locked="0"/>
    </xf>
    <xf numFmtId="0" fontId="58" fillId="0" borderId="0" xfId="3" applyFont="1" applyAlignment="1" applyProtection="1">
      <alignment horizontal="left" vertical="top"/>
      <protection locked="0"/>
    </xf>
    <xf numFmtId="0" fontId="58" fillId="0" borderId="0" xfId="3" applyFont="1" applyAlignment="1" applyProtection="1">
      <alignment vertical="top"/>
      <protection locked="0"/>
    </xf>
    <xf numFmtId="169" fontId="10" fillId="0" borderId="30" xfId="0" applyNumberFormat="1" applyFont="1" applyBorder="1" applyAlignment="1">
      <alignment horizontal="right"/>
      <protection locked="0"/>
    </xf>
    <xf numFmtId="4" fontId="39" fillId="7" borderId="30" xfId="55" applyNumberFormat="1" applyFont="1" applyFill="1" applyBorder="1" applyAlignment="1" applyProtection="1">
      <alignment horizontal="right"/>
      <protection locked="0"/>
    </xf>
    <xf numFmtId="4" fontId="12" fillId="0" borderId="0" xfId="3" applyNumberFormat="1" applyAlignment="1" applyProtection="1">
      <alignment horizontal="left" vertical="top"/>
      <protection locked="0"/>
    </xf>
    <xf numFmtId="4" fontId="74" fillId="5" borderId="30" xfId="0" applyNumberFormat="1" applyFont="1" applyFill="1" applyBorder="1" applyAlignment="1">
      <alignment horizontal="right"/>
      <protection locked="0"/>
    </xf>
    <xf numFmtId="0" fontId="39" fillId="0" borderId="30" xfId="0" applyFont="1" applyBorder="1" applyAlignment="1">
      <alignment horizontal="left" wrapText="1"/>
      <protection locked="0"/>
    </xf>
    <xf numFmtId="4" fontId="147" fillId="0" borderId="30" xfId="0" applyNumberFormat="1" applyFont="1" applyBorder="1" applyAlignment="1">
      <alignment horizontal="right"/>
      <protection locked="0"/>
    </xf>
    <xf numFmtId="39" fontId="39" fillId="0" borderId="30" xfId="0" applyNumberFormat="1" applyFont="1" applyBorder="1" applyAlignment="1">
      <alignment horizontal="right"/>
      <protection locked="0"/>
    </xf>
    <xf numFmtId="0" fontId="122" fillId="0" borderId="0" xfId="0" applyFont="1" applyAlignment="1" applyProtection="1">
      <alignment vertical="center"/>
    </xf>
    <xf numFmtId="0" fontId="57" fillId="0" borderId="0" xfId="0" applyFont="1" applyAlignment="1" applyProtection="1">
      <alignment vertical="center"/>
    </xf>
    <xf numFmtId="0" fontId="60" fillId="0" borderId="0" xfId="0" applyFont="1" applyAlignment="1" applyProtection="1">
      <alignment horizontal="right" vertical="center"/>
    </xf>
    <xf numFmtId="0" fontId="30" fillId="0" borderId="30" xfId="0" applyFont="1" applyBorder="1" applyAlignment="1">
      <alignment horizontal="center" vertical="center" wrapText="1"/>
      <protection locked="0"/>
    </xf>
    <xf numFmtId="4" fontId="30" fillId="0" borderId="30" xfId="0" applyNumberFormat="1" applyFont="1" applyBorder="1" applyAlignment="1">
      <alignment horizontal="center" vertical="center"/>
      <protection locked="0"/>
    </xf>
    <xf numFmtId="0" fontId="73" fillId="0" borderId="0" xfId="32" applyFont="1" applyAlignment="1" applyProtection="1">
      <alignment horizontal="right" vertical="center"/>
      <protection locked="0"/>
    </xf>
    <xf numFmtId="0" fontId="148" fillId="0" borderId="0" xfId="32" applyFont="1" applyAlignment="1" applyProtection="1">
      <alignment horizontal="left" vertical="center"/>
      <protection locked="0"/>
    </xf>
    <xf numFmtId="0" fontId="96" fillId="0" borderId="0" xfId="0" applyFont="1" applyAlignment="1">
      <alignment horizontal="left" vertical="top"/>
      <protection locked="0"/>
    </xf>
    <xf numFmtId="4" fontId="50" fillId="0" borderId="30" xfId="0" applyNumberFormat="1" applyFont="1" applyBorder="1" applyAlignment="1">
      <alignment horizontal="right"/>
      <protection locked="0"/>
    </xf>
    <xf numFmtId="49" fontId="139" fillId="0" borderId="30" xfId="0" applyNumberFormat="1" applyFont="1" applyBorder="1" applyAlignment="1">
      <alignment horizontal="right"/>
      <protection locked="0"/>
    </xf>
    <xf numFmtId="49" fontId="129" fillId="0" borderId="30" xfId="0" applyNumberFormat="1" applyFont="1" applyBorder="1" applyAlignment="1">
      <alignment horizontal="left" wrapText="1"/>
      <protection locked="0"/>
    </xf>
    <xf numFmtId="0" fontId="139" fillId="0" borderId="30" xfId="0" applyFont="1" applyBorder="1" applyAlignment="1">
      <alignment horizontal="left" wrapText="1"/>
      <protection locked="0"/>
    </xf>
    <xf numFmtId="4" fontId="139" fillId="5" borderId="30" xfId="0" applyNumberFormat="1" applyFont="1" applyFill="1" applyBorder="1" applyAlignment="1">
      <alignment horizontal="right"/>
      <protection locked="0"/>
    </xf>
    <xf numFmtId="39" fontId="139" fillId="0" borderId="30" xfId="12" applyNumberFormat="1" applyFont="1" applyBorder="1" applyAlignment="1">
      <alignment horizontal="center"/>
      <protection locked="0"/>
    </xf>
    <xf numFmtId="0" fontId="71" fillId="0" borderId="0" xfId="58" applyFont="1" applyFill="1" applyAlignment="1" applyProtection="1">
      <alignment horizontal="left" vertical="center"/>
    </xf>
    <xf numFmtId="0" fontId="30" fillId="0" borderId="30" xfId="59" applyFont="1" applyBorder="1" applyAlignment="1">
      <alignment horizontal="left" wrapText="1"/>
    </xf>
    <xf numFmtId="49" fontId="10" fillId="0" borderId="30" xfId="60" applyNumberFormat="1" applyFont="1" applyBorder="1" applyAlignment="1">
      <alignment horizontal="right" wrapText="1"/>
      <protection locked="0"/>
    </xf>
    <xf numFmtId="49" fontId="10" fillId="0" borderId="30" xfId="60" applyNumberFormat="1" applyFont="1" applyBorder="1" applyAlignment="1">
      <alignment horizontal="left" wrapText="1"/>
      <protection locked="0"/>
    </xf>
    <xf numFmtId="0" fontId="30" fillId="0" borderId="30" xfId="60" applyFont="1" applyBorder="1" applyAlignment="1">
      <alignment horizontal="left" wrapText="1"/>
      <protection locked="0"/>
    </xf>
    <xf numFmtId="4" fontId="30" fillId="0" borderId="30" xfId="60" applyNumberFormat="1" applyFont="1" applyBorder="1" applyAlignment="1">
      <alignment horizontal="right"/>
      <protection locked="0"/>
    </xf>
    <xf numFmtId="0" fontId="66" fillId="0" borderId="0" xfId="60" applyFont="1" applyAlignment="1">
      <alignment horizontal="left" vertical="top"/>
      <protection locked="0"/>
    </xf>
    <xf numFmtId="0" fontId="69" fillId="0" borderId="0" xfId="60" applyAlignment="1">
      <alignment horizontal="left" vertical="top"/>
      <protection locked="0"/>
    </xf>
    <xf numFmtId="168" fontId="69" fillId="0" borderId="0" xfId="60" applyNumberFormat="1" applyAlignment="1">
      <alignment horizontal="left" vertical="top"/>
      <protection locked="0"/>
    </xf>
    <xf numFmtId="0" fontId="89" fillId="0" borderId="30" xfId="3" applyFont="1" applyBorder="1" applyAlignment="1" applyProtection="1">
      <alignment horizontal="left" vertical="top"/>
      <protection locked="0"/>
    </xf>
    <xf numFmtId="4" fontId="10" fillId="0" borderId="30" xfId="43" applyNumberFormat="1" applyFont="1" applyBorder="1" applyAlignment="1" applyProtection="1">
      <alignment horizontal="right"/>
      <protection locked="0"/>
    </xf>
    <xf numFmtId="4" fontId="68" fillId="0" borderId="30" xfId="43" applyNumberFormat="1" applyFont="1" applyBorder="1" applyAlignment="1" applyProtection="1">
      <alignment horizontal="right" vertical="center"/>
      <protection locked="0"/>
    </xf>
    <xf numFmtId="4" fontId="68" fillId="0" borderId="30" xfId="43" applyNumberFormat="1" applyFont="1" applyBorder="1" applyAlignment="1" applyProtection="1">
      <alignment horizontal="right"/>
      <protection locked="0"/>
    </xf>
    <xf numFmtId="4" fontId="30" fillId="5" borderId="30" xfId="59" applyNumberFormat="1" applyFont="1" applyFill="1" applyBorder="1" applyAlignment="1" applyProtection="1">
      <alignment horizontal="right"/>
      <protection locked="0"/>
    </xf>
    <xf numFmtId="0" fontId="38" fillId="0" borderId="0" xfId="45" applyFont="1" applyAlignment="1" applyProtection="1">
      <alignment horizontal="left"/>
    </xf>
    <xf numFmtId="0" fontId="144" fillId="0" borderId="0" xfId="40" applyFont="1" applyAlignment="1">
      <alignment horizontal="left" vertical="center"/>
      <protection locked="0"/>
    </xf>
    <xf numFmtId="0" fontId="72" fillId="0" borderId="0" xfId="28" applyFont="1" applyAlignment="1">
      <alignment horizontal="left" vertical="center"/>
      <protection locked="0"/>
    </xf>
    <xf numFmtId="0" fontId="9" fillId="0" borderId="0" xfId="43"/>
    <xf numFmtId="0" fontId="10" fillId="0" borderId="0" xfId="40" applyFont="1" applyAlignment="1" applyProtection="1">
      <alignment horizontal="left"/>
    </xf>
    <xf numFmtId="0" fontId="38" fillId="0" borderId="0" xfId="40" applyFont="1" applyAlignment="1" applyProtection="1">
      <alignment horizontal="left"/>
    </xf>
    <xf numFmtId="0" fontId="12" fillId="0" borderId="0" xfId="30" applyAlignment="1">
      <alignment horizontal="left" vertical="top"/>
    </xf>
    <xf numFmtId="0" fontId="12" fillId="0" borderId="0" xfId="30"/>
    <xf numFmtId="0" fontId="10" fillId="0" borderId="0" xfId="45" applyFont="1" applyAlignment="1" applyProtection="1">
      <alignment horizontal="left"/>
    </xf>
    <xf numFmtId="0" fontId="45" fillId="0" borderId="0" xfId="45" applyFont="1" applyAlignment="1" applyProtection="1">
      <alignment horizontal="center" vertical="center"/>
    </xf>
    <xf numFmtId="0" fontId="106" fillId="0" borderId="0" xfId="43" applyFont="1" applyAlignment="1" applyProtection="1">
      <alignment horizontal="left" vertical="center"/>
      <protection locked="0"/>
    </xf>
    <xf numFmtId="0" fontId="45" fillId="0" borderId="0" xfId="28" applyFont="1" applyAlignment="1" applyProtection="1">
      <alignment horizontal="left" vertical="center"/>
    </xf>
    <xf numFmtId="0" fontId="70" fillId="0" borderId="0" xfId="28" applyFont="1" applyAlignment="1">
      <alignment horizontal="left" vertical="center"/>
      <protection locked="0"/>
    </xf>
    <xf numFmtId="0" fontId="47" fillId="7" borderId="31" xfId="28" applyFont="1" applyFill="1" applyBorder="1" applyAlignment="1" applyProtection="1">
      <alignment horizontal="center" vertical="center" wrapText="1"/>
    </xf>
    <xf numFmtId="0" fontId="65" fillId="0" borderId="0" xfId="61" applyFill="1" applyAlignment="1" applyProtection="1">
      <alignment horizontal="left" vertical="center"/>
      <protection locked="0"/>
    </xf>
    <xf numFmtId="37" fontId="39" fillId="7" borderId="28" xfId="28" applyNumberFormat="1" applyFont="1" applyFill="1" applyBorder="1" applyAlignment="1">
      <alignment horizontal="right"/>
      <protection locked="0"/>
    </xf>
    <xf numFmtId="0" fontId="39" fillId="7" borderId="28" xfId="28" applyFont="1" applyFill="1" applyBorder="1" applyAlignment="1">
      <alignment horizontal="left" wrapText="1"/>
      <protection locked="0"/>
    </xf>
    <xf numFmtId="170" fontId="39" fillId="7" borderId="28" xfId="28" applyNumberFormat="1" applyFont="1" applyFill="1" applyBorder="1" applyAlignment="1">
      <alignment horizontal="right"/>
      <protection locked="0"/>
    </xf>
    <xf numFmtId="4" fontId="39" fillId="7" borderId="28" xfId="28" applyNumberFormat="1" applyFont="1" applyFill="1" applyBorder="1" applyAlignment="1">
      <alignment horizontal="right"/>
      <protection locked="0"/>
    </xf>
    <xf numFmtId="4" fontId="39" fillId="7" borderId="30" xfId="45" applyNumberFormat="1" applyFont="1" applyFill="1" applyBorder="1" applyAlignment="1">
      <alignment horizontal="right"/>
      <protection locked="0"/>
    </xf>
    <xf numFmtId="0" fontId="13" fillId="7" borderId="28" xfId="28" applyFill="1" applyBorder="1" applyAlignment="1">
      <alignment horizontal="left" vertical="top"/>
      <protection locked="0"/>
    </xf>
    <xf numFmtId="2" fontId="137" fillId="0" borderId="0" xfId="28" applyNumberFormat="1" applyFont="1" applyAlignment="1">
      <alignment horizontal="left" vertical="center"/>
      <protection locked="0"/>
    </xf>
    <xf numFmtId="37" fontId="39" fillId="7" borderId="30" xfId="45" applyNumberFormat="1" applyFont="1" applyFill="1" applyBorder="1" applyAlignment="1">
      <alignment horizontal="right"/>
      <protection locked="0"/>
    </xf>
    <xf numFmtId="0" fontId="39" fillId="7" borderId="30" xfId="45" applyFont="1" applyFill="1" applyBorder="1" applyAlignment="1">
      <alignment horizontal="left" wrapText="1"/>
      <protection locked="0"/>
    </xf>
    <xf numFmtId="167" fontId="39" fillId="7" borderId="30" xfId="45" applyNumberFormat="1" applyFont="1" applyFill="1" applyBorder="1" applyAlignment="1">
      <alignment horizontal="right"/>
      <protection locked="0"/>
    </xf>
    <xf numFmtId="0" fontId="33" fillId="7" borderId="30" xfId="45" applyFill="1" applyBorder="1" applyAlignment="1">
      <alignment vertical="top"/>
      <protection locked="0"/>
    </xf>
    <xf numFmtId="0" fontId="117" fillId="0" borderId="0" xfId="45" applyFont="1" applyAlignment="1">
      <alignment horizontal="left" vertical="center"/>
      <protection locked="0"/>
    </xf>
    <xf numFmtId="0" fontId="137" fillId="0" borderId="0" xfId="28" applyFont="1" applyAlignment="1">
      <alignment horizontal="left" vertical="center"/>
      <protection locked="0"/>
    </xf>
    <xf numFmtId="37" fontId="10" fillId="0" borderId="30" xfId="45" applyNumberFormat="1" applyFont="1" applyBorder="1" applyAlignment="1">
      <alignment horizontal="right"/>
      <protection locked="0"/>
    </xf>
    <xf numFmtId="39" fontId="10" fillId="0" borderId="30" xfId="45" applyNumberFormat="1" applyFont="1" applyBorder="1" applyAlignment="1">
      <alignment horizontal="right"/>
      <protection locked="0"/>
    </xf>
    <xf numFmtId="167" fontId="10" fillId="0" borderId="30" xfId="45" applyNumberFormat="1" applyFont="1" applyBorder="1" applyAlignment="1">
      <alignment horizontal="right" wrapText="1"/>
      <protection locked="0"/>
    </xf>
    <xf numFmtId="37" fontId="10" fillId="0" borderId="30" xfId="44" applyNumberFormat="1" applyFont="1" applyBorder="1" applyAlignment="1">
      <alignment horizontal="right"/>
      <protection locked="0"/>
    </xf>
    <xf numFmtId="167" fontId="30" fillId="0" borderId="30" xfId="45" applyNumberFormat="1" applyFont="1" applyBorder="1" applyAlignment="1">
      <alignment horizontal="right"/>
      <protection locked="0"/>
    </xf>
    <xf numFmtId="39" fontId="30" fillId="0" borderId="30" xfId="44" applyNumberFormat="1" applyFont="1" applyBorder="1" applyAlignment="1">
      <alignment horizontal="right"/>
      <protection locked="0"/>
    </xf>
    <xf numFmtId="37" fontId="39" fillId="0" borderId="30" xfId="45" applyNumberFormat="1" applyFont="1" applyBorder="1" applyAlignment="1">
      <alignment horizontal="right"/>
      <protection locked="0"/>
    </xf>
    <xf numFmtId="0" fontId="39" fillId="0" borderId="30" xfId="45" applyFont="1" applyBorder="1" applyAlignment="1">
      <alignment horizontal="left" wrapText="1"/>
      <protection locked="0"/>
    </xf>
    <xf numFmtId="4" fontId="39" fillId="0" borderId="30" xfId="45" applyNumberFormat="1" applyFont="1" applyBorder="1" applyAlignment="1">
      <alignment horizontal="right"/>
      <protection locked="0"/>
    </xf>
    <xf numFmtId="0" fontId="33" fillId="0" borderId="30" xfId="45" applyBorder="1" applyAlignment="1">
      <alignment vertical="top"/>
      <protection locked="0"/>
    </xf>
    <xf numFmtId="37" fontId="10" fillId="0" borderId="30" xfId="0" applyNumberFormat="1" applyFont="1" applyBorder="1" applyAlignment="1">
      <alignment horizontal="right"/>
      <protection locked="0"/>
    </xf>
    <xf numFmtId="0" fontId="106" fillId="0" borderId="0" xfId="0" applyFont="1" applyAlignment="1">
      <alignment horizontal="left" vertical="center"/>
      <protection locked="0"/>
    </xf>
    <xf numFmtId="171" fontId="97" fillId="0" borderId="0" xfId="0" applyNumberFormat="1" applyFont="1" applyAlignment="1">
      <alignment vertical="center"/>
      <protection locked="0"/>
    </xf>
    <xf numFmtId="0" fontId="149" fillId="0" borderId="0" xfId="0" applyFont="1" applyAlignment="1">
      <alignment vertical="center"/>
      <protection locked="0"/>
    </xf>
    <xf numFmtId="4" fontId="102" fillId="0" borderId="0" xfId="0" applyNumberFormat="1" applyFont="1" applyAlignment="1">
      <alignment horizontal="center" vertical="center"/>
      <protection locked="0"/>
    </xf>
    <xf numFmtId="0" fontId="69" fillId="0" borderId="0" xfId="0" applyFont="1" applyAlignment="1">
      <alignment horizontal="left" vertical="top"/>
      <protection locked="0"/>
    </xf>
    <xf numFmtId="167" fontId="10" fillId="0" borderId="30" xfId="0" applyNumberFormat="1" applyFont="1" applyBorder="1" applyAlignment="1">
      <alignment horizontal="right" wrapText="1"/>
      <protection locked="0"/>
    </xf>
    <xf numFmtId="37" fontId="10" fillId="0" borderId="30" xfId="40" applyNumberFormat="1" applyFont="1" applyBorder="1" applyAlignment="1">
      <alignment horizontal="right"/>
      <protection locked="0"/>
    </xf>
    <xf numFmtId="39" fontId="10" fillId="0" borderId="30" xfId="40" applyNumberFormat="1" applyFont="1" applyBorder="1" applyAlignment="1">
      <alignment horizontal="right"/>
      <protection locked="0"/>
    </xf>
    <xf numFmtId="0" fontId="113" fillId="0" borderId="0" xfId="40" applyFont="1" applyAlignment="1">
      <alignment horizontal="left" vertical="center"/>
      <protection locked="0"/>
    </xf>
    <xf numFmtId="0" fontId="69" fillId="0" borderId="0" xfId="40" applyAlignment="1">
      <alignment horizontal="left" vertical="top"/>
      <protection locked="0"/>
    </xf>
    <xf numFmtId="167" fontId="10" fillId="0" borderId="30" xfId="40" applyNumberFormat="1" applyFont="1" applyBorder="1" applyAlignment="1">
      <alignment horizontal="right" wrapText="1"/>
      <protection locked="0"/>
    </xf>
    <xf numFmtId="167" fontId="30" fillId="0" borderId="30" xfId="40" applyNumberFormat="1" applyFont="1" applyBorder="1" applyAlignment="1">
      <alignment horizontal="right"/>
      <protection locked="0"/>
    </xf>
    <xf numFmtId="2" fontId="113" fillId="0" borderId="0" xfId="40" applyNumberFormat="1" applyFont="1" applyAlignment="1">
      <alignment horizontal="left" vertical="center"/>
      <protection locked="0"/>
    </xf>
    <xf numFmtId="37" fontId="10" fillId="0" borderId="30" xfId="42" applyNumberFormat="1" applyFont="1" applyBorder="1" applyAlignment="1" applyProtection="1">
      <alignment horizontal="right"/>
      <protection locked="0"/>
    </xf>
    <xf numFmtId="0" fontId="10" fillId="0" borderId="30" xfId="42" applyFont="1" applyBorder="1" applyAlignment="1" applyProtection="1">
      <alignment horizontal="left" wrapText="1"/>
      <protection locked="0"/>
    </xf>
    <xf numFmtId="39" fontId="10" fillId="0" borderId="30" xfId="42" applyNumberFormat="1" applyFont="1" applyBorder="1" applyAlignment="1" applyProtection="1">
      <alignment horizontal="right"/>
      <protection locked="0"/>
    </xf>
    <xf numFmtId="0" fontId="117" fillId="0" borderId="0" xfId="42" applyFont="1" applyAlignment="1" applyProtection="1">
      <alignment horizontal="left" vertical="center"/>
      <protection locked="0"/>
    </xf>
    <xf numFmtId="0" fontId="137" fillId="0" borderId="0" xfId="6" applyFont="1" applyAlignment="1" applyProtection="1">
      <alignment horizontal="left" vertical="center"/>
      <protection locked="0"/>
    </xf>
    <xf numFmtId="0" fontId="12" fillId="0" borderId="0" xfId="42" applyAlignment="1" applyProtection="1">
      <alignment horizontal="left" vertical="top"/>
      <protection locked="0"/>
    </xf>
    <xf numFmtId="167" fontId="10" fillId="0" borderId="30" xfId="42" applyNumberFormat="1" applyFont="1" applyBorder="1" applyAlignment="1" applyProtection="1">
      <alignment horizontal="right" wrapText="1"/>
      <protection locked="0"/>
    </xf>
    <xf numFmtId="39" fontId="10" fillId="0" borderId="30" xfId="42" applyNumberFormat="1" applyFont="1" applyBorder="1" applyAlignment="1" applyProtection="1">
      <alignment horizontal="center"/>
      <protection locked="0"/>
    </xf>
    <xf numFmtId="2" fontId="117" fillId="0" borderId="0" xfId="40" applyNumberFormat="1" applyFont="1" applyAlignment="1">
      <alignment horizontal="left" vertical="center"/>
      <protection locked="0"/>
    </xf>
    <xf numFmtId="0" fontId="137" fillId="0" borderId="0" xfId="26" applyFont="1" applyAlignment="1" applyProtection="1">
      <alignment horizontal="left" vertical="center"/>
      <protection locked="0"/>
    </xf>
    <xf numFmtId="0" fontId="117" fillId="0" borderId="0" xfId="40" applyFont="1" applyAlignment="1">
      <alignment horizontal="left" vertical="center"/>
      <protection locked="0"/>
    </xf>
    <xf numFmtId="0" fontId="69" fillId="0" borderId="0" xfId="45" applyFont="1" applyAlignment="1" applyProtection="1"/>
    <xf numFmtId="0" fontId="33" fillId="0" borderId="0" xfId="45" applyAlignment="1" applyProtection="1"/>
    <xf numFmtId="0" fontId="119" fillId="0" borderId="0" xfId="45" applyFont="1" applyAlignment="1" applyProtection="1">
      <alignment horizontal="left" vertical="center"/>
    </xf>
    <xf numFmtId="37" fontId="10" fillId="0" borderId="30" xfId="38" applyNumberFormat="1" applyFont="1" applyBorder="1" applyAlignment="1" applyProtection="1">
      <alignment horizontal="right"/>
      <protection locked="0"/>
    </xf>
    <xf numFmtId="0" fontId="97" fillId="0" borderId="0" xfId="45" applyFont="1" applyAlignment="1">
      <alignment horizontal="left" vertical="top"/>
      <protection locked="0"/>
    </xf>
    <xf numFmtId="0" fontId="33"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0" fillId="0" borderId="30" xfId="0" applyNumberFormat="1" applyFont="1" applyBorder="1" applyAlignment="1">
      <alignment horizontal="center"/>
      <protection locked="0"/>
    </xf>
    <xf numFmtId="0" fontId="96" fillId="0" borderId="30" xfId="0" applyFont="1" applyBorder="1" applyAlignment="1">
      <alignment horizontal="right" vertical="center"/>
      <protection locked="0"/>
    </xf>
    <xf numFmtId="0" fontId="72" fillId="0" borderId="0" xfId="45" applyFont="1" applyAlignment="1">
      <alignment horizontal="left" vertical="center"/>
      <protection locked="0"/>
    </xf>
    <xf numFmtId="0" fontId="150" fillId="0" borderId="0" xfId="45" applyFont="1" applyAlignment="1">
      <alignment horizontal="left" vertical="center"/>
      <protection locked="0"/>
    </xf>
    <xf numFmtId="0" fontId="33" fillId="0" borderId="0" xfId="45" applyAlignment="1">
      <alignment horizontal="left" vertical="center"/>
      <protection locked="0"/>
    </xf>
    <xf numFmtId="0" fontId="97" fillId="0" borderId="0" xfId="45" applyFont="1" applyAlignment="1">
      <alignment horizontal="left" vertical="center"/>
      <protection locked="0"/>
    </xf>
    <xf numFmtId="167" fontId="10" fillId="0" borderId="30" xfId="45" applyNumberFormat="1" applyFont="1" applyBorder="1" applyAlignment="1">
      <protection locked="0"/>
    </xf>
    <xf numFmtId="0" fontId="83" fillId="0" borderId="0" xfId="45" applyFont="1" applyAlignment="1">
      <alignment horizontal="left" vertical="center"/>
      <protection locked="0"/>
    </xf>
    <xf numFmtId="0" fontId="33" fillId="0" borderId="0" xfId="45" applyAlignment="1">
      <alignment horizontal="right" vertical="top"/>
      <protection locked="0"/>
    </xf>
    <xf numFmtId="0" fontId="151" fillId="0" borderId="0" xfId="45" applyFont="1" applyAlignment="1">
      <alignment horizontal="left" vertical="center"/>
      <protection locked="0"/>
    </xf>
    <xf numFmtId="2" fontId="72" fillId="0" borderId="0" xfId="45" applyNumberFormat="1" applyFont="1" applyAlignment="1">
      <alignment horizontal="right" vertical="center"/>
      <protection locked="0"/>
    </xf>
    <xf numFmtId="0" fontId="79" fillId="0" borderId="0" xfId="45" applyFont="1" applyAlignment="1">
      <alignment horizontal="right" vertical="top"/>
      <protection locked="0"/>
    </xf>
    <xf numFmtId="0" fontId="79" fillId="0" borderId="0" xfId="45" applyFont="1" applyAlignment="1">
      <alignment horizontal="left" vertical="top"/>
      <protection locked="0"/>
    </xf>
    <xf numFmtId="49" fontId="10" fillId="0" borderId="30" xfId="45" applyNumberFormat="1" applyFont="1" applyBorder="1" applyAlignment="1">
      <alignment horizontal="center"/>
      <protection locked="0"/>
    </xf>
    <xf numFmtId="0" fontId="152" fillId="0" borderId="0" xfId="45" applyFont="1" applyAlignment="1">
      <alignment horizontal="left" vertical="center"/>
      <protection locked="0"/>
    </xf>
    <xf numFmtId="37" fontId="153" fillId="0" borderId="30" xfId="45" applyNumberFormat="1" applyFont="1" applyBorder="1" applyAlignment="1">
      <alignment horizontal="right"/>
      <protection locked="0"/>
    </xf>
    <xf numFmtId="0" fontId="153" fillId="0" borderId="30" xfId="45" applyFont="1" applyBorder="1" applyAlignment="1">
      <alignment horizontal="left" wrapText="1"/>
      <protection locked="0"/>
    </xf>
    <xf numFmtId="4" fontId="153" fillId="0" borderId="30" xfId="45" applyNumberFormat="1" applyFont="1" applyBorder="1" applyAlignment="1">
      <alignment horizontal="right"/>
      <protection locked="0"/>
    </xf>
    <xf numFmtId="39" fontId="11" fillId="0" borderId="30" xfId="45" applyNumberFormat="1" applyFont="1" applyBorder="1" applyAlignment="1">
      <alignment horizontal="center"/>
      <protection locked="0"/>
    </xf>
    <xf numFmtId="0" fontId="116" fillId="0" borderId="0" xfId="45" applyFont="1" applyAlignment="1">
      <alignment horizontal="left" vertical="center"/>
      <protection locked="0"/>
    </xf>
    <xf numFmtId="2" fontId="33" fillId="0" borderId="0" xfId="45" applyNumberFormat="1" applyAlignment="1">
      <alignment horizontal="right" vertical="top"/>
      <protection locked="0"/>
    </xf>
    <xf numFmtId="0" fontId="73" fillId="0" borderId="0" xfId="60" applyFont="1" applyAlignment="1">
      <alignment horizontal="left" vertical="center"/>
      <protection locked="0"/>
    </xf>
    <xf numFmtId="0" fontId="100" fillId="0" borderId="0" xfId="45" applyFont="1" applyAlignment="1">
      <alignment horizontal="left" vertical="center"/>
      <protection locked="0"/>
    </xf>
    <xf numFmtId="2" fontId="116" fillId="0" borderId="0" xfId="45" applyNumberFormat="1" applyFont="1" applyAlignment="1">
      <alignment horizontal="left" vertical="center"/>
      <protection locked="0"/>
    </xf>
    <xf numFmtId="39" fontId="10" fillId="0" borderId="0" xfId="0" applyNumberFormat="1" applyFont="1" applyAlignment="1">
      <alignment horizontal="center"/>
      <protection locked="0"/>
    </xf>
    <xf numFmtId="49" fontId="56" fillId="0" borderId="30" xfId="0" applyNumberFormat="1" applyFont="1" applyBorder="1" applyAlignment="1">
      <alignment horizontal="right" wrapText="1"/>
      <protection locked="0"/>
    </xf>
    <xf numFmtId="49" fontId="56" fillId="0" borderId="30" xfId="0" applyNumberFormat="1" applyFont="1" applyBorder="1" applyAlignment="1">
      <alignment horizontal="left" wrapText="1"/>
      <protection locked="0"/>
    </xf>
    <xf numFmtId="0" fontId="56" fillId="0" borderId="30" xfId="0" applyFont="1" applyBorder="1" applyAlignment="1">
      <alignment horizontal="left" wrapText="1"/>
      <protection locked="0"/>
    </xf>
    <xf numFmtId="39" fontId="56" fillId="0" borderId="30" xfId="0" applyNumberFormat="1" applyFont="1" applyBorder="1" applyAlignment="1">
      <alignment horizontal="right"/>
      <protection locked="0"/>
    </xf>
    <xf numFmtId="39" fontId="56" fillId="0" borderId="30" xfId="45" applyNumberFormat="1" applyFont="1" applyBorder="1" applyAlignment="1">
      <alignment horizontal="center"/>
      <protection locked="0"/>
    </xf>
    <xf numFmtId="167" fontId="59" fillId="0" borderId="30" xfId="45" applyNumberFormat="1" applyFont="1" applyBorder="1" applyAlignment="1">
      <alignment horizontal="right"/>
      <protection locked="0"/>
    </xf>
    <xf numFmtId="49" fontId="10" fillId="0" borderId="30" xfId="45" applyNumberFormat="1" applyFont="1" applyBorder="1" applyAlignment="1">
      <alignment horizontal="right" wrapText="1"/>
      <protection locked="0"/>
    </xf>
    <xf numFmtId="167" fontId="14" fillId="0" borderId="0" xfId="26" applyNumberFormat="1" applyAlignment="1" applyProtection="1">
      <alignment horizontal="left" vertical="top"/>
      <protection locked="0"/>
    </xf>
    <xf numFmtId="167" fontId="39"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0" fillId="0" borderId="0" xfId="0" applyNumberFormat="1" applyFont="1" applyAlignment="1">
      <alignment horizontal="right"/>
      <protection locked="0"/>
    </xf>
    <xf numFmtId="0" fontId="10" fillId="0" borderId="0" xfId="0" applyFont="1" applyAlignment="1">
      <alignment horizontal="left" wrapText="1"/>
      <protection locked="0"/>
    </xf>
    <xf numFmtId="2" fontId="10" fillId="0" borderId="0" xfId="0" applyNumberFormat="1" applyFont="1" applyAlignment="1">
      <alignment horizontal="right"/>
      <protection locked="0"/>
    </xf>
    <xf numFmtId="39" fontId="10" fillId="0" borderId="0" xfId="0" applyNumberFormat="1" applyFont="1" applyAlignment="1">
      <alignment horizontal="right"/>
      <protection locked="0"/>
    </xf>
    <xf numFmtId="0" fontId="30" fillId="0" borderId="0" xfId="0" applyFont="1" applyAlignment="1">
      <alignment horizontal="left" wrapText="1"/>
      <protection locked="0"/>
    </xf>
    <xf numFmtId="0" fontId="73" fillId="0" borderId="0" xfId="0" applyFont="1" applyAlignment="1">
      <alignment horizontal="left" vertical="top"/>
      <protection locked="0"/>
    </xf>
    <xf numFmtId="37" fontId="56" fillId="0" borderId="30" xfId="0" applyNumberFormat="1" applyFont="1" applyBorder="1" applyAlignment="1">
      <alignment horizontal="right"/>
      <protection locked="0"/>
    </xf>
    <xf numFmtId="39" fontId="56" fillId="0" borderId="30" xfId="0" applyNumberFormat="1" applyFont="1" applyBorder="1" applyAlignment="1">
      <alignment horizontal="center"/>
      <protection locked="0"/>
    </xf>
    <xf numFmtId="0" fontId="94" fillId="0" borderId="0" xfId="0" applyFont="1" applyAlignment="1">
      <alignment horizontal="left" vertical="center"/>
      <protection locked="0"/>
    </xf>
    <xf numFmtId="0" fontId="94" fillId="0" borderId="0" xfId="0" applyFont="1" applyAlignment="1">
      <alignment vertical="top" wrapText="1"/>
      <protection locked="0"/>
    </xf>
    <xf numFmtId="0" fontId="95" fillId="0" borderId="0" xfId="0" applyFont="1" applyAlignment="1">
      <alignment horizontal="left" vertical="center" textRotation="90" wrapText="1"/>
      <protection locked="0"/>
    </xf>
    <xf numFmtId="2" fontId="59" fillId="0" borderId="30" xfId="0" applyNumberFormat="1" applyFont="1" applyBorder="1" applyAlignment="1">
      <alignment horizontal="left"/>
      <protection locked="0"/>
    </xf>
    <xf numFmtId="167" fontId="59" fillId="0" borderId="30" xfId="0" applyNumberFormat="1" applyFont="1" applyBorder="1" applyAlignment="1">
      <alignment horizontal="right"/>
      <protection locked="0"/>
    </xf>
    <xf numFmtId="0" fontId="62" fillId="0" borderId="30" xfId="0" applyFont="1" applyBorder="1" applyAlignment="1">
      <alignment vertical="top"/>
      <protection locked="0"/>
    </xf>
    <xf numFmtId="0" fontId="154" fillId="0" borderId="0" xfId="0" applyFont="1" applyAlignment="1">
      <alignment horizontal="left" vertical="center"/>
      <protection locked="0"/>
    </xf>
    <xf numFmtId="0" fontId="94" fillId="0" borderId="0" xfId="0" applyFont="1" applyAlignment="1">
      <alignment vertical="center" wrapText="1"/>
      <protection locked="0"/>
    </xf>
    <xf numFmtId="0" fontId="30" fillId="0" borderId="0" xfId="0" applyFont="1" applyAlignment="1">
      <alignment horizontal="left" vertical="center"/>
      <protection locked="0"/>
    </xf>
    <xf numFmtId="2" fontId="10" fillId="0" borderId="0" xfId="0" applyNumberFormat="1" applyFont="1" applyAlignment="1">
      <alignment horizontal="right" vertical="center"/>
      <protection locked="0"/>
    </xf>
    <xf numFmtId="39" fontId="10" fillId="0" borderId="0" xfId="0" applyNumberFormat="1" applyFont="1" applyAlignment="1">
      <alignment horizontal="right" vertical="center"/>
      <protection locked="0"/>
    </xf>
    <xf numFmtId="37" fontId="39" fillId="0" borderId="30" xfId="43" applyNumberFormat="1" applyFont="1" applyBorder="1" applyAlignment="1" applyProtection="1">
      <alignment horizontal="right"/>
      <protection locked="0"/>
    </xf>
    <xf numFmtId="0" fontId="39" fillId="0" borderId="30" xfId="43" applyFont="1" applyBorder="1" applyAlignment="1" applyProtection="1">
      <alignment horizontal="left" wrapText="1"/>
      <protection locked="0"/>
    </xf>
    <xf numFmtId="167" fontId="39" fillId="0" borderId="30" xfId="43" applyNumberFormat="1" applyFont="1" applyBorder="1" applyAlignment="1" applyProtection="1">
      <alignment horizontal="right"/>
      <protection locked="0"/>
    </xf>
    <xf numFmtId="4" fontId="39" fillId="0" borderId="30" xfId="43" applyNumberFormat="1" applyFont="1" applyBorder="1" applyAlignment="1" applyProtection="1">
      <alignment horizontal="right"/>
      <protection locked="0"/>
    </xf>
    <xf numFmtId="0" fontId="31" fillId="0" borderId="0" xfId="43" applyFont="1" applyAlignment="1" applyProtection="1">
      <alignment vertical="center"/>
      <protection locked="0"/>
    </xf>
    <xf numFmtId="171" fontId="155" fillId="0" borderId="0" xfId="0" applyNumberFormat="1" applyFont="1" applyAlignment="1">
      <protection locked="0"/>
    </xf>
    <xf numFmtId="37" fontId="87" fillId="0" borderId="30" xfId="0" applyNumberFormat="1" applyFont="1" applyBorder="1" applyAlignment="1">
      <alignment horizontal="right"/>
      <protection locked="0"/>
    </xf>
    <xf numFmtId="0" fontId="87" fillId="0" borderId="30" xfId="0" applyFont="1" applyBorder="1" applyAlignment="1">
      <alignment horizontal="left" wrapText="1"/>
      <protection locked="0"/>
    </xf>
    <xf numFmtId="167" fontId="68" fillId="0" borderId="30" xfId="0" applyNumberFormat="1" applyFont="1" applyBorder="1" applyAlignment="1">
      <alignment horizontal="right"/>
      <protection locked="0"/>
    </xf>
    <xf numFmtId="37" fontId="74" fillId="0" borderId="30" xfId="3" applyNumberFormat="1" applyFont="1" applyBorder="1" applyAlignment="1" applyProtection="1">
      <alignment horizontal="right"/>
      <protection locked="0"/>
    </xf>
    <xf numFmtId="9" fontId="74" fillId="0" borderId="30" xfId="3" applyNumberFormat="1" applyFont="1" applyBorder="1" applyAlignment="1" applyProtection="1">
      <alignment horizontal="left" wrapText="1"/>
      <protection locked="0"/>
    </xf>
    <xf numFmtId="37" fontId="74" fillId="0" borderId="30" xfId="0" applyNumberFormat="1" applyFont="1" applyBorder="1" applyAlignment="1">
      <alignment horizontal="right"/>
      <protection locked="0"/>
    </xf>
    <xf numFmtId="0" fontId="13" fillId="0" borderId="0" xfId="45" applyFont="1" applyAlignment="1">
      <alignment horizontal="left" vertical="top"/>
      <protection locked="0"/>
    </xf>
    <xf numFmtId="39" fontId="10" fillId="0" borderId="0" xfId="3" applyNumberFormat="1" applyFont="1" applyAlignment="1" applyProtection="1">
      <alignment horizontal="left" vertical="center"/>
      <protection locked="0"/>
    </xf>
    <xf numFmtId="0" fontId="99" fillId="0" borderId="0" xfId="0" applyFont="1" applyAlignment="1">
      <alignment horizontal="center" vertical="center"/>
      <protection locked="0"/>
    </xf>
    <xf numFmtId="0" fontId="62" fillId="0" borderId="0" xfId="0" applyFont="1" applyAlignment="1">
      <alignment horizontal="left" vertical="center"/>
      <protection locked="0"/>
    </xf>
    <xf numFmtId="0" fontId="59" fillId="0" borderId="0" xfId="0" applyFont="1" applyAlignment="1">
      <alignment horizontal="left" vertical="center" wrapText="1"/>
      <protection locked="0"/>
    </xf>
    <xf numFmtId="2" fontId="56" fillId="0" borderId="0" xfId="0" applyNumberFormat="1" applyFont="1" applyAlignment="1">
      <alignment horizontal="right" vertical="center"/>
      <protection locked="0"/>
    </xf>
    <xf numFmtId="39" fontId="39" fillId="0" borderId="0" xfId="3" applyNumberFormat="1" applyFont="1" applyAlignment="1" applyProtection="1">
      <alignment horizontal="left"/>
      <protection locked="0"/>
    </xf>
    <xf numFmtId="0" fontId="94" fillId="0" borderId="0" xfId="0" applyFont="1" applyAlignment="1">
      <alignment vertical="top"/>
      <protection locked="0"/>
    </xf>
    <xf numFmtId="0" fontId="124" fillId="0" borderId="30" xfId="0" applyFont="1" applyBorder="1" applyAlignment="1">
      <alignment horizontal="right" wrapText="1"/>
      <protection locked="0"/>
    </xf>
    <xf numFmtId="39" fontId="10" fillId="0" borderId="0" xfId="3" applyNumberFormat="1" applyFont="1" applyAlignment="1" applyProtection="1">
      <alignment horizontal="left"/>
      <protection locked="0"/>
    </xf>
    <xf numFmtId="37" fontId="139" fillId="0" borderId="30" xfId="0" applyNumberFormat="1" applyFont="1" applyBorder="1" applyAlignment="1">
      <alignment horizontal="right"/>
      <protection locked="0"/>
    </xf>
    <xf numFmtId="4" fontId="59" fillId="5" borderId="30" xfId="0" applyNumberFormat="1" applyFont="1" applyFill="1" applyBorder="1" applyAlignment="1">
      <alignment horizontal="right"/>
      <protection locked="0"/>
    </xf>
    <xf numFmtId="37" fontId="56" fillId="0" borderId="0" xfId="0" applyNumberFormat="1" applyFont="1" applyAlignment="1">
      <alignment horizontal="right"/>
      <protection locked="0"/>
    </xf>
    <xf numFmtId="0" fontId="56" fillId="0" borderId="0" xfId="0" applyFont="1" applyAlignment="1">
      <alignment horizontal="left" wrapText="1"/>
      <protection locked="0"/>
    </xf>
    <xf numFmtId="0" fontId="59" fillId="0" borderId="0" xfId="0" applyFont="1" applyAlignment="1">
      <alignment horizontal="left" wrapText="1"/>
      <protection locked="0"/>
    </xf>
    <xf numFmtId="0" fontId="98" fillId="0" borderId="30" xfId="0" applyFont="1" applyBorder="1" applyAlignment="1">
      <alignment horizontal="left" wrapText="1"/>
      <protection locked="0"/>
    </xf>
    <xf numFmtId="0" fontId="62" fillId="0" borderId="0" xfId="45" applyFont="1" applyAlignment="1">
      <alignment horizontal="right" vertical="center"/>
      <protection locked="0"/>
    </xf>
    <xf numFmtId="0" fontId="62" fillId="0" borderId="0" xfId="45" applyFont="1" applyAlignment="1">
      <alignment horizontal="left" vertical="center"/>
      <protection locked="0"/>
    </xf>
    <xf numFmtId="37" fontId="56" fillId="0" borderId="0" xfId="45" applyNumberFormat="1" applyFont="1" applyAlignment="1">
      <alignment horizontal="right"/>
      <protection locked="0"/>
    </xf>
    <xf numFmtId="0" fontId="56" fillId="0" borderId="0" xfId="45" applyFont="1" applyAlignment="1">
      <alignment horizontal="left" wrapText="1"/>
      <protection locked="0"/>
    </xf>
    <xf numFmtId="0" fontId="59" fillId="0" borderId="0" xfId="45" applyFont="1" applyAlignment="1">
      <alignment horizontal="left" vertical="center" wrapText="1"/>
      <protection locked="0"/>
    </xf>
    <xf numFmtId="0" fontId="56" fillId="0" borderId="0" xfId="45" applyFont="1" applyAlignment="1">
      <alignment horizontal="left" vertical="center" wrapText="1"/>
      <protection locked="0"/>
    </xf>
    <xf numFmtId="2" fontId="10" fillId="0" borderId="0" xfId="45" applyNumberFormat="1" applyFont="1" applyAlignment="1">
      <alignment horizontal="right" vertical="center"/>
      <protection locked="0"/>
    </xf>
    <xf numFmtId="39" fontId="10" fillId="0" borderId="0" xfId="0" applyNumberFormat="1" applyFont="1" applyAlignment="1">
      <alignment horizontal="left" vertical="center"/>
      <protection locked="0"/>
    </xf>
    <xf numFmtId="0" fontId="10" fillId="0" borderId="30" xfId="0" applyFont="1" applyBorder="1" applyAlignment="1">
      <alignment horizontal="right" vertical="center"/>
      <protection locked="0"/>
    </xf>
    <xf numFmtId="2" fontId="30" fillId="0" borderId="30" xfId="0" applyNumberFormat="1" applyFont="1" applyBorder="1" applyAlignment="1">
      <alignment horizontal="left"/>
      <protection locked="0"/>
    </xf>
    <xf numFmtId="0" fontId="156" fillId="0" borderId="0" xfId="0" applyFont="1" applyAlignment="1">
      <alignment vertical="top"/>
      <protection locked="0"/>
    </xf>
    <xf numFmtId="0" fontId="62" fillId="0" borderId="0" xfId="0" applyFont="1" applyAlignment="1">
      <alignment horizontal="left" vertical="top"/>
      <protection locked="0"/>
    </xf>
    <xf numFmtId="0" fontId="157" fillId="0" borderId="0" xfId="0" applyFont="1" applyAlignment="1">
      <alignment horizontal="left" wrapText="1"/>
      <protection locked="0"/>
    </xf>
    <xf numFmtId="2" fontId="56" fillId="0" borderId="0" xfId="0" applyNumberFormat="1" applyFont="1" applyAlignment="1">
      <alignment horizontal="right"/>
      <protection locked="0"/>
    </xf>
    <xf numFmtId="39" fontId="56" fillId="0" borderId="0" xfId="0" applyNumberFormat="1" applyFont="1" applyAlignment="1">
      <alignment horizontal="right"/>
      <protection locked="0"/>
    </xf>
    <xf numFmtId="0" fontId="62" fillId="0" borderId="0" xfId="0" applyFont="1" applyAlignment="1">
      <alignment horizontal="right" vertical="top"/>
      <protection locked="0"/>
    </xf>
    <xf numFmtId="171" fontId="28" fillId="0" borderId="0" xfId="0" applyNumberFormat="1" applyFont="1" applyAlignment="1">
      <alignment vertical="center"/>
      <protection locked="0"/>
    </xf>
    <xf numFmtId="2" fontId="117" fillId="0" borderId="0" xfId="45" applyNumberFormat="1" applyFont="1" applyAlignment="1">
      <alignment horizontal="left" vertical="center"/>
      <protection locked="0"/>
    </xf>
    <xf numFmtId="171" fontId="94" fillId="0" borderId="0" xfId="0" applyNumberFormat="1" applyFont="1" applyAlignment="1">
      <alignment vertical="top"/>
      <protection locked="0"/>
    </xf>
    <xf numFmtId="0" fontId="135" fillId="0" borderId="30" xfId="0" applyFont="1" applyBorder="1" applyAlignment="1">
      <alignment horizontal="right" vertical="center"/>
      <protection locked="0"/>
    </xf>
    <xf numFmtId="0" fontId="13" fillId="0" borderId="0" xfId="0" applyFont="1" applyAlignment="1">
      <alignment horizontal="left" vertical="top"/>
      <protection locked="0"/>
    </xf>
    <xf numFmtId="2" fontId="139" fillId="5" borderId="30" xfId="0" applyNumberFormat="1" applyFont="1" applyFill="1" applyBorder="1" applyAlignment="1">
      <alignment horizontal="right"/>
      <protection locked="0"/>
    </xf>
    <xf numFmtId="37" fontId="56" fillId="0" borderId="0" xfId="0" applyNumberFormat="1" applyFont="1" applyAlignment="1">
      <alignment horizontal="right" vertical="center"/>
      <protection locked="0"/>
    </xf>
    <xf numFmtId="0" fontId="56" fillId="0" borderId="0" xfId="0" applyFont="1" applyAlignment="1">
      <alignment horizontal="left" vertical="center" wrapText="1"/>
      <protection locked="0"/>
    </xf>
    <xf numFmtId="49" fontId="98" fillId="0" borderId="30" xfId="0" applyNumberFormat="1" applyFont="1" applyBorder="1" applyAlignment="1">
      <alignment horizontal="right" wrapText="1"/>
      <protection locked="0"/>
    </xf>
    <xf numFmtId="2" fontId="30" fillId="5" borderId="30" xfId="0" applyNumberFormat="1" applyFont="1" applyFill="1" applyBorder="1" applyAlignment="1">
      <alignment horizontal="right"/>
      <protection locked="0"/>
    </xf>
    <xf numFmtId="0" fontId="10" fillId="0" borderId="0" xfId="0" applyFont="1" applyAlignment="1">
      <alignment horizontal="left" vertical="center"/>
      <protection locked="0"/>
    </xf>
    <xf numFmtId="39" fontId="10" fillId="0" borderId="30" xfId="31" applyNumberFormat="1" applyFont="1" applyBorder="1" applyAlignment="1" applyProtection="1">
      <alignment horizontal="center"/>
      <protection locked="0"/>
    </xf>
    <xf numFmtId="0" fontId="83" fillId="0" borderId="0" xfId="0" applyFont="1" applyAlignment="1">
      <alignment horizontal="left" vertical="center"/>
      <protection locked="0"/>
    </xf>
    <xf numFmtId="49" fontId="74" fillId="0" borderId="30" xfId="0" applyNumberFormat="1" applyFont="1" applyBorder="1" applyAlignment="1">
      <alignment horizontal="right" wrapText="1"/>
      <protection locked="0"/>
    </xf>
    <xf numFmtId="167" fontId="74" fillId="0" borderId="30" xfId="0" applyNumberFormat="1" applyFont="1" applyBorder="1" applyAlignment="1">
      <alignment horizontal="right"/>
      <protection locked="0"/>
    </xf>
    <xf numFmtId="0" fontId="105" fillId="0" borderId="0" xfId="0" applyFont="1" applyAlignment="1">
      <alignment vertical="center"/>
      <protection locked="0"/>
    </xf>
    <xf numFmtId="0" fontId="0" fillId="0" borderId="0" xfId="0" applyAlignment="1">
      <alignment vertical="center"/>
      <protection locked="0"/>
    </xf>
    <xf numFmtId="49" fontId="139" fillId="0" borderId="30" xfId="0" applyNumberFormat="1" applyFont="1" applyBorder="1" applyAlignment="1">
      <alignment horizontal="right" wrapText="1"/>
      <protection locked="0"/>
    </xf>
    <xf numFmtId="9" fontId="139" fillId="0" borderId="30" xfId="3" applyNumberFormat="1" applyFont="1" applyBorder="1" applyAlignment="1" applyProtection="1">
      <alignment horizontal="left" wrapText="1"/>
      <protection locked="0"/>
    </xf>
    <xf numFmtId="167" fontId="139" fillId="0" borderId="30" xfId="0" applyNumberFormat="1" applyFont="1" applyBorder="1" applyAlignment="1">
      <alignment horizontal="right"/>
      <protection locked="0"/>
    </xf>
    <xf numFmtId="0" fontId="125" fillId="0" borderId="0" xfId="51" applyFill="1" applyAlignment="1" applyProtection="1">
      <alignment vertical="center"/>
      <protection locked="0"/>
    </xf>
    <xf numFmtId="0" fontId="53" fillId="0" borderId="0" xfId="31" applyAlignment="1" applyProtection="1">
      <alignment horizontal="left" vertical="top"/>
      <protection locked="0"/>
    </xf>
    <xf numFmtId="0" fontId="158" fillId="0" borderId="0" xfId="31" applyFont="1" applyAlignment="1" applyProtection="1">
      <alignment horizontal="left" vertical="top"/>
      <protection locked="0"/>
    </xf>
    <xf numFmtId="49" fontId="10" fillId="0" borderId="30" xfId="31" applyNumberFormat="1" applyFont="1" applyBorder="1" applyAlignment="1" applyProtection="1">
      <alignment horizontal="right" wrapText="1"/>
      <protection locked="0"/>
    </xf>
    <xf numFmtId="49" fontId="10" fillId="0" borderId="30" xfId="31" applyNumberFormat="1" applyFont="1" applyBorder="1" applyAlignment="1" applyProtection="1">
      <alignment horizontal="left" wrapText="1"/>
      <protection locked="0"/>
    </xf>
    <xf numFmtId="0" fontId="10" fillId="0" borderId="30" xfId="31" applyFont="1" applyBorder="1" applyAlignment="1" applyProtection="1">
      <alignment horizontal="left" wrapText="1"/>
      <protection locked="0"/>
    </xf>
    <xf numFmtId="167" fontId="53" fillId="0" borderId="0" xfId="31" applyNumberFormat="1" applyAlignment="1" applyProtection="1">
      <alignment vertical="top"/>
      <protection locked="0"/>
    </xf>
    <xf numFmtId="0" fontId="109" fillId="0" borderId="0" xfId="31" applyFont="1" applyAlignment="1" applyProtection="1">
      <alignment vertical="center"/>
      <protection locked="0"/>
    </xf>
    <xf numFmtId="0" fontId="53" fillId="0" borderId="0" xfId="31" applyAlignment="1" applyProtection="1">
      <alignment vertical="top"/>
      <protection locked="0"/>
    </xf>
    <xf numFmtId="39" fontId="10" fillId="0" borderId="0" xfId="43" applyNumberFormat="1" applyFont="1" applyAlignment="1" applyProtection="1">
      <alignment horizontal="center"/>
      <protection locked="0"/>
    </xf>
    <xf numFmtId="0" fontId="73" fillId="0" borderId="0" xfId="43" applyFont="1" applyAlignment="1" applyProtection="1">
      <alignment horizontal="left" vertical="top"/>
      <protection locked="0"/>
    </xf>
    <xf numFmtId="37" fontId="10" fillId="0" borderId="0" xfId="43" applyNumberFormat="1" applyFont="1" applyAlignment="1" applyProtection="1">
      <alignment horizontal="right"/>
      <protection locked="0"/>
    </xf>
    <xf numFmtId="0" fontId="10" fillId="0" borderId="0" xfId="43" applyFont="1" applyAlignment="1" applyProtection="1">
      <alignment horizontal="left" wrapText="1"/>
      <protection locked="0"/>
    </xf>
    <xf numFmtId="0" fontId="30" fillId="0" borderId="0" xfId="43" applyFont="1" applyAlignment="1" applyProtection="1">
      <alignment horizontal="left" wrapText="1"/>
      <protection locked="0"/>
    </xf>
    <xf numFmtId="2" fontId="10" fillId="0" borderId="0" xfId="43" applyNumberFormat="1" applyFont="1" applyAlignment="1" applyProtection="1">
      <alignment horizontal="right"/>
      <protection locked="0"/>
    </xf>
    <xf numFmtId="39" fontId="10" fillId="0" borderId="0" xfId="43" applyNumberFormat="1" applyFont="1" applyAlignment="1" applyProtection="1">
      <alignment horizontal="right"/>
      <protection locked="0"/>
    </xf>
    <xf numFmtId="37" fontId="10" fillId="0" borderId="30" xfId="43" applyNumberFormat="1" applyFont="1" applyBorder="1" applyAlignment="1" applyProtection="1">
      <alignment horizontal="right"/>
      <protection locked="0"/>
    </xf>
    <xf numFmtId="0" fontId="124" fillId="0" borderId="30" xfId="43" applyFont="1" applyBorder="1" applyAlignment="1" applyProtection="1">
      <alignment horizontal="right" wrapText="1"/>
      <protection locked="0"/>
    </xf>
    <xf numFmtId="0" fontId="13" fillId="0" borderId="0" xfId="43" applyFont="1" applyAlignment="1" applyProtection="1">
      <alignment horizontal="right" vertical="center"/>
      <protection locked="0"/>
    </xf>
    <xf numFmtId="0" fontId="13" fillId="0" borderId="0" xfId="43" applyFont="1" applyAlignment="1" applyProtection="1">
      <alignment horizontal="left" vertical="top"/>
      <protection locked="0"/>
    </xf>
    <xf numFmtId="37" fontId="74" fillId="0" borderId="30" xfId="45" applyNumberFormat="1" applyFont="1" applyBorder="1" applyAlignment="1">
      <alignment horizontal="right"/>
      <protection locked="0"/>
    </xf>
    <xf numFmtId="0" fontId="13" fillId="0" borderId="0" xfId="43" applyFont="1" applyAlignment="1" applyProtection="1">
      <alignment horizontal="left" vertical="center"/>
      <protection locked="0"/>
    </xf>
    <xf numFmtId="37" fontId="10" fillId="0" borderId="0" xfId="43" applyNumberFormat="1" applyFont="1" applyAlignment="1" applyProtection="1">
      <alignment horizontal="right" vertical="center"/>
      <protection locked="0"/>
    </xf>
    <xf numFmtId="0" fontId="10" fillId="0" borderId="0" xfId="43" applyFont="1" applyAlignment="1" applyProtection="1">
      <alignment horizontal="left" vertical="center" wrapText="1"/>
      <protection locked="0"/>
    </xf>
    <xf numFmtId="0" fontId="30" fillId="0" borderId="0" xfId="43" applyFont="1" applyAlignment="1" applyProtection="1">
      <alignment horizontal="left" vertical="center" wrapText="1"/>
      <protection locked="0"/>
    </xf>
    <xf numFmtId="0" fontId="62" fillId="0" borderId="0" xfId="43" applyFont="1" applyAlignment="1" applyProtection="1">
      <alignment horizontal="right" vertical="center"/>
      <protection locked="0"/>
    </xf>
    <xf numFmtId="0" fontId="125" fillId="0" borderId="0" xfId="51" applyFill="1" applyAlignment="1" applyProtection="1">
      <alignment horizontal="left" vertical="center"/>
      <protection locked="0"/>
    </xf>
    <xf numFmtId="0" fontId="13" fillId="0" borderId="0" xfId="45" applyFont="1" applyAlignment="1">
      <alignment horizontal="left" vertical="center"/>
      <protection locked="0"/>
    </xf>
    <xf numFmtId="0" fontId="95" fillId="0" borderId="0" xfId="45" applyFont="1" applyAlignment="1">
      <alignment horizontal="left" vertical="center" textRotation="90" wrapText="1"/>
      <protection locked="0"/>
    </xf>
    <xf numFmtId="0" fontId="10" fillId="0" borderId="30" xfId="43" applyFont="1" applyBorder="1" applyAlignment="1" applyProtection="1">
      <alignment horizontal="right" vertical="center"/>
      <protection locked="0"/>
    </xf>
    <xf numFmtId="2" fontId="30" fillId="0" borderId="30" xfId="43" applyNumberFormat="1" applyFont="1" applyBorder="1" applyAlignment="1" applyProtection="1">
      <alignment horizontal="left"/>
      <protection locked="0"/>
    </xf>
    <xf numFmtId="0" fontId="156" fillId="0" borderId="0" xfId="43" applyFont="1" applyAlignment="1" applyProtection="1">
      <alignment vertical="top"/>
      <protection locked="0"/>
    </xf>
    <xf numFmtId="37" fontId="56" fillId="0" borderId="0" xfId="43" applyNumberFormat="1" applyFont="1" applyAlignment="1" applyProtection="1">
      <alignment horizontal="right"/>
      <protection locked="0"/>
    </xf>
    <xf numFmtId="0" fontId="56" fillId="0" borderId="0" xfId="43" applyFont="1" applyAlignment="1" applyProtection="1">
      <alignment horizontal="left" wrapText="1"/>
      <protection locked="0"/>
    </xf>
    <xf numFmtId="0" fontId="157" fillId="0" borderId="0" xfId="43" applyFont="1" applyAlignment="1" applyProtection="1">
      <alignment horizontal="left" wrapText="1"/>
      <protection locked="0"/>
    </xf>
    <xf numFmtId="2" fontId="56" fillId="0" borderId="0" xfId="43" applyNumberFormat="1" applyFont="1" applyAlignment="1" applyProtection="1">
      <alignment horizontal="right"/>
      <protection locked="0"/>
    </xf>
    <xf numFmtId="39" fontId="56" fillId="0" borderId="0" xfId="43" applyNumberFormat="1" applyFont="1" applyAlignment="1" applyProtection="1">
      <alignment horizontal="right"/>
      <protection locked="0"/>
    </xf>
    <xf numFmtId="0" fontId="62" fillId="0" borderId="0" xfId="43" applyFont="1" applyAlignment="1" applyProtection="1">
      <alignment horizontal="right" vertical="top"/>
      <protection locked="0"/>
    </xf>
    <xf numFmtId="0" fontId="54" fillId="0" borderId="0" xfId="43" applyFont="1" applyAlignment="1" applyProtection="1">
      <alignment horizontal="left" vertical="center"/>
      <protection locked="0"/>
    </xf>
    <xf numFmtId="171" fontId="124" fillId="0" borderId="0" xfId="43" applyNumberFormat="1" applyFont="1" applyAlignment="1" applyProtection="1">
      <alignment horizontal="right" vertical="center"/>
      <protection locked="0"/>
    </xf>
    <xf numFmtId="0" fontId="18" fillId="0" borderId="0" xfId="43" applyFont="1" applyAlignment="1" applyProtection="1">
      <alignment horizontal="left"/>
      <protection locked="0"/>
    </xf>
    <xf numFmtId="0" fontId="98" fillId="0" borderId="0" xfId="43" applyFont="1" applyAlignment="1" applyProtection="1">
      <alignment horizontal="left" wrapText="1"/>
      <protection locked="0"/>
    </xf>
    <xf numFmtId="0" fontId="9" fillId="0" borderId="0" xfId="43" applyAlignment="1" applyProtection="1">
      <alignment horizontal="right" vertical="top"/>
      <protection locked="0"/>
    </xf>
    <xf numFmtId="39" fontId="56" fillId="0" borderId="0" xfId="0" applyNumberFormat="1" applyFont="1" applyAlignment="1">
      <alignment horizontal="right" vertical="center"/>
      <protection locked="0"/>
    </xf>
    <xf numFmtId="0" fontId="98" fillId="0" borderId="30" xfId="45" applyFont="1" applyBorder="1" applyAlignment="1">
      <alignment horizontal="left" wrapText="1"/>
      <protection locked="0"/>
    </xf>
    <xf numFmtId="49" fontId="87" fillId="0" borderId="30" xfId="45" applyNumberFormat="1" applyFont="1" applyBorder="1" applyAlignment="1">
      <alignment horizontal="left" wrapText="1"/>
      <protection locked="0"/>
    </xf>
    <xf numFmtId="2" fontId="74" fillId="5" borderId="30" xfId="45" applyNumberFormat="1" applyFont="1" applyFill="1" applyBorder="1" applyAlignment="1">
      <alignment horizontal="right"/>
      <protection locked="0"/>
    </xf>
    <xf numFmtId="0" fontId="98" fillId="0" borderId="0" xfId="0" applyFont="1" applyAlignment="1">
      <alignment horizontal="left" wrapText="1"/>
      <protection locked="0"/>
    </xf>
    <xf numFmtId="0" fontId="0" fillId="0" borderId="0" xfId="0" applyAlignment="1">
      <alignment horizontal="right" vertical="top"/>
      <protection locked="0"/>
    </xf>
    <xf numFmtId="0" fontId="49" fillId="0" borderId="0" xfId="43" applyFont="1" applyAlignment="1" applyProtection="1">
      <alignment vertical="center"/>
      <protection locked="0"/>
    </xf>
    <xf numFmtId="167" fontId="10" fillId="0" borderId="30" xfId="43" applyNumberFormat="1" applyFont="1" applyBorder="1" applyAlignment="1" applyProtection="1">
      <alignment horizontal="right"/>
      <protection locked="0"/>
    </xf>
    <xf numFmtId="37" fontId="74" fillId="0" borderId="30" xfId="43" applyNumberFormat="1" applyFont="1" applyBorder="1" applyAlignment="1" applyProtection="1">
      <alignment horizontal="right"/>
      <protection locked="0"/>
    </xf>
    <xf numFmtId="0" fontId="74" fillId="0" borderId="30" xfId="43" applyFont="1" applyBorder="1" applyAlignment="1" applyProtection="1">
      <alignment horizontal="left" wrapText="1"/>
      <protection locked="0"/>
    </xf>
    <xf numFmtId="4" fontId="74" fillId="5" borderId="30" xfId="43" applyNumberFormat="1" applyFont="1" applyFill="1" applyBorder="1" applyAlignment="1" applyProtection="1">
      <alignment horizontal="right"/>
      <protection locked="0"/>
    </xf>
    <xf numFmtId="39" fontId="56" fillId="0" borderId="0" xfId="43" applyNumberFormat="1" applyFont="1" applyAlignment="1" applyProtection="1">
      <alignment horizontal="right" vertical="center"/>
      <protection locked="0"/>
    </xf>
    <xf numFmtId="0" fontId="98" fillId="0" borderId="30" xfId="43" applyFont="1" applyBorder="1" applyAlignment="1" applyProtection="1">
      <alignment horizontal="left" wrapText="1"/>
      <protection locked="0"/>
    </xf>
    <xf numFmtId="169" fontId="13" fillId="0" borderId="0" xfId="43" applyNumberFormat="1" applyFont="1" applyAlignment="1" applyProtection="1">
      <alignment horizontal="right" vertical="center"/>
      <protection locked="0"/>
    </xf>
    <xf numFmtId="39" fontId="10" fillId="0" borderId="0" xfId="43" applyNumberFormat="1" applyFont="1" applyAlignment="1" applyProtection="1">
      <alignment horizontal="right" vertical="center"/>
      <protection locked="0"/>
    </xf>
    <xf numFmtId="4" fontId="74" fillId="0" borderId="30" xfId="43" applyNumberFormat="1" applyFont="1" applyBorder="1" applyAlignment="1" applyProtection="1">
      <alignment horizontal="right"/>
      <protection locked="0"/>
    </xf>
    <xf numFmtId="0" fontId="84" fillId="0" borderId="0" xfId="43" applyFont="1" applyAlignment="1" applyProtection="1">
      <alignment horizontal="right" vertical="center"/>
      <protection locked="0"/>
    </xf>
    <xf numFmtId="167" fontId="54" fillId="0" borderId="0" xfId="43" applyNumberFormat="1" applyFont="1" applyAlignment="1" applyProtection="1">
      <alignment horizontal="left" vertical="center"/>
      <protection locked="0"/>
    </xf>
    <xf numFmtId="171" fontId="75" fillId="0" borderId="0" xfId="43" applyNumberFormat="1" applyFont="1" applyAlignment="1" applyProtection="1">
      <alignment horizontal="right" vertical="center"/>
      <protection locked="0"/>
    </xf>
    <xf numFmtId="37" fontId="56" fillId="0" borderId="30" xfId="40" applyNumberFormat="1" applyFont="1" applyBorder="1" applyAlignment="1">
      <alignment horizontal="right"/>
      <protection locked="0"/>
    </xf>
    <xf numFmtId="0" fontId="56" fillId="0" borderId="30" xfId="40" applyFont="1" applyBorder="1" applyAlignment="1">
      <alignment horizontal="left" wrapText="1"/>
      <protection locked="0"/>
    </xf>
    <xf numFmtId="167" fontId="101" fillId="0" borderId="30" xfId="0" applyNumberFormat="1" applyFont="1" applyBorder="1" applyAlignment="1">
      <alignment horizontal="right" wrapText="1"/>
      <protection locked="0"/>
    </xf>
    <xf numFmtId="39" fontId="68" fillId="0" borderId="30" xfId="0" applyNumberFormat="1" applyFont="1" applyBorder="1" applyAlignment="1">
      <alignment horizontal="right"/>
      <protection locked="0"/>
    </xf>
    <xf numFmtId="37" fontId="39" fillId="0" borderId="30" xfId="0" applyNumberFormat="1" applyFont="1" applyBorder="1" applyAlignment="1">
      <alignment horizontal="right"/>
      <protection locked="0"/>
    </xf>
    <xf numFmtId="0" fontId="39" fillId="0" borderId="30" xfId="0" applyFont="1" applyBorder="1" applyAlignment="1">
      <alignment horizontal="center" wrapText="1"/>
      <protection locked="0"/>
    </xf>
    <xf numFmtId="4" fontId="39" fillId="0" borderId="30" xfId="0" applyNumberFormat="1" applyFont="1" applyBorder="1" applyAlignment="1">
      <alignment horizontal="right"/>
      <protection locked="0"/>
    </xf>
    <xf numFmtId="37" fontId="68"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9" fillId="0" borderId="0" xfId="0" applyFont="1" applyAlignment="1">
      <alignment horizontal="left" vertical="center"/>
      <protection locked="0"/>
    </xf>
    <xf numFmtId="0" fontId="159" fillId="0" borderId="0" xfId="0" applyFont="1" applyAlignment="1">
      <alignment horizontal="right" vertical="center"/>
      <protection locked="0"/>
    </xf>
    <xf numFmtId="0" fontId="157" fillId="0" borderId="30" xfId="0" applyFont="1" applyBorder="1" applyAlignment="1">
      <alignment horizontal="left" wrapText="1"/>
      <protection locked="0"/>
    </xf>
    <xf numFmtId="37" fontId="98" fillId="0" borderId="30" xfId="0" applyNumberFormat="1" applyFont="1" applyBorder="1" applyAlignment="1">
      <alignment horizontal="right"/>
      <protection locked="0"/>
    </xf>
    <xf numFmtId="39" fontId="98" fillId="0" borderId="30" xfId="0" applyNumberFormat="1" applyFont="1" applyBorder="1" applyAlignment="1">
      <alignment horizontal="right"/>
      <protection locked="0"/>
    </xf>
    <xf numFmtId="0" fontId="54" fillId="0" borderId="0" xfId="0" applyFont="1" applyAlignment="1">
      <alignment horizontal="left" vertical="center"/>
      <protection locked="0"/>
    </xf>
    <xf numFmtId="0" fontId="96" fillId="0" borderId="0" xfId="0" applyFont="1" applyAlignment="1">
      <alignment horizontal="left" vertical="center"/>
      <protection locked="0"/>
    </xf>
    <xf numFmtId="37" fontId="10" fillId="0" borderId="30" xfId="48" applyNumberFormat="1" applyFont="1" applyBorder="1" applyAlignment="1">
      <alignment horizontal="right"/>
      <protection locked="0"/>
    </xf>
    <xf numFmtId="49" fontId="10" fillId="0" borderId="30" xfId="48" applyNumberFormat="1" applyFont="1" applyBorder="1" applyAlignment="1">
      <alignment horizontal="left" wrapText="1"/>
      <protection locked="0"/>
    </xf>
    <xf numFmtId="0" fontId="10" fillId="0" borderId="30" xfId="48" applyFont="1" applyBorder="1" applyAlignment="1">
      <alignment horizontal="left" wrapText="1"/>
      <protection locked="0"/>
    </xf>
    <xf numFmtId="39" fontId="10" fillId="0" borderId="30" xfId="48" applyNumberFormat="1" applyFont="1" applyBorder="1" applyAlignment="1">
      <alignment horizontal="right"/>
      <protection locked="0"/>
    </xf>
    <xf numFmtId="39" fontId="10" fillId="0" borderId="30" xfId="48" applyNumberFormat="1" applyFont="1" applyBorder="1" applyAlignment="1">
      <alignment horizontal="center"/>
      <protection locked="0"/>
    </xf>
    <xf numFmtId="39" fontId="85" fillId="0" borderId="0" xfId="48" applyNumberFormat="1" applyFont="1" applyAlignment="1">
      <alignment horizontal="left"/>
      <protection locked="0"/>
    </xf>
    <xf numFmtId="0" fontId="66" fillId="0" borderId="0" xfId="48" applyFont="1" applyAlignment="1">
      <alignment horizontal="right" vertical="top"/>
      <protection locked="0"/>
    </xf>
    <xf numFmtId="37" fontId="10" fillId="0" borderId="0" xfId="48" applyNumberFormat="1" applyFont="1" applyAlignment="1">
      <alignment horizontal="left"/>
      <protection locked="0"/>
    </xf>
    <xf numFmtId="0" fontId="69" fillId="0" borderId="0" xfId="48" applyAlignment="1">
      <alignment horizontal="left" vertical="top"/>
      <protection locked="0"/>
    </xf>
    <xf numFmtId="0" fontId="30" fillId="0" borderId="30" xfId="48" applyFont="1" applyBorder="1" applyAlignment="1">
      <alignment horizontal="left" wrapText="1"/>
      <protection locked="0"/>
    </xf>
    <xf numFmtId="167" fontId="10" fillId="0" borderId="30" xfId="48" applyNumberFormat="1" applyFont="1" applyBorder="1" applyAlignment="1">
      <alignment horizontal="right"/>
      <protection locked="0"/>
    </xf>
    <xf numFmtId="2" fontId="30" fillId="0" borderId="30" xfId="48" applyNumberFormat="1" applyFont="1" applyBorder="1" applyAlignment="1">
      <alignment horizontal="left"/>
      <protection locked="0"/>
    </xf>
    <xf numFmtId="0" fontId="13" fillId="0" borderId="30" xfId="48" applyFont="1" applyBorder="1" applyAlignment="1">
      <alignment vertical="top"/>
      <protection locked="0"/>
    </xf>
    <xf numFmtId="2" fontId="94" fillId="0" borderId="0" xfId="48" applyNumberFormat="1" applyFont="1" applyAlignment="1">
      <alignment vertical="top"/>
      <protection locked="0"/>
    </xf>
    <xf numFmtId="0" fontId="94" fillId="0" borderId="0" xfId="48" applyFont="1" applyAlignment="1">
      <alignment vertical="top" wrapText="1"/>
      <protection locked="0"/>
    </xf>
    <xf numFmtId="0" fontId="30" fillId="0" borderId="0" xfId="48" applyFont="1" applyAlignment="1">
      <alignment horizontal="left" wrapText="1"/>
      <protection locked="0"/>
    </xf>
    <xf numFmtId="0" fontId="10" fillId="0" borderId="0" xfId="48" applyFont="1" applyAlignment="1">
      <alignment horizontal="left" wrapText="1"/>
      <protection locked="0"/>
    </xf>
    <xf numFmtId="2" fontId="10" fillId="0" borderId="0" xfId="48" applyNumberFormat="1" applyFont="1" applyAlignment="1">
      <alignment horizontal="right"/>
      <protection locked="0"/>
    </xf>
    <xf numFmtId="39" fontId="10" fillId="0" borderId="0" xfId="48" applyNumberFormat="1" applyFont="1" applyAlignment="1">
      <alignment horizontal="right"/>
      <protection locked="0"/>
    </xf>
    <xf numFmtId="39" fontId="10" fillId="0" borderId="0" xfId="48" applyNumberFormat="1" applyFont="1" applyAlignment="1">
      <alignment horizontal="center"/>
      <protection locked="0"/>
    </xf>
    <xf numFmtId="0" fontId="94" fillId="0" borderId="0" xfId="48" applyFont="1" applyAlignment="1">
      <alignment vertical="top"/>
      <protection locked="0"/>
    </xf>
    <xf numFmtId="39" fontId="160" fillId="0" borderId="0" xfId="48" applyNumberFormat="1" applyFont="1" applyAlignment="1">
      <alignment horizontal="left"/>
      <protection locked="0"/>
    </xf>
    <xf numFmtId="0" fontId="73" fillId="0" borderId="0" xfId="40" applyFont="1" applyAlignment="1">
      <alignment horizontal="left" vertical="center"/>
      <protection locked="0"/>
    </xf>
    <xf numFmtId="0" fontId="66" fillId="0" borderId="0" xfId="40" applyFont="1" applyAlignment="1">
      <alignment horizontal="right" vertical="top"/>
      <protection locked="0"/>
    </xf>
    <xf numFmtId="37" fontId="10" fillId="0" borderId="0" xfId="40" applyNumberFormat="1" applyFont="1" applyAlignment="1">
      <alignment horizontal="right"/>
      <protection locked="0"/>
    </xf>
    <xf numFmtId="0" fontId="10" fillId="0" borderId="0" xfId="40" applyFont="1" applyAlignment="1">
      <alignment horizontal="left" wrapText="1"/>
      <protection locked="0"/>
    </xf>
    <xf numFmtId="0" fontId="30" fillId="0" borderId="0" xfId="40" applyFont="1" applyAlignment="1">
      <alignment horizontal="left" wrapText="1"/>
      <protection locked="0"/>
    </xf>
    <xf numFmtId="0" fontId="28" fillId="0" borderId="39" xfId="40" applyFont="1" applyBorder="1" applyAlignment="1">
      <alignment vertical="center"/>
      <protection locked="0"/>
    </xf>
    <xf numFmtId="2" fontId="10" fillId="0" borderId="0" xfId="40" applyNumberFormat="1" applyFont="1" applyAlignment="1">
      <alignment horizontal="right"/>
      <protection locked="0"/>
    </xf>
    <xf numFmtId="39" fontId="10" fillId="0" borderId="0" xfId="40" applyNumberFormat="1" applyFont="1" applyAlignment="1">
      <alignment horizontal="right"/>
      <protection locked="0"/>
    </xf>
    <xf numFmtId="39" fontId="10" fillId="0" borderId="0" xfId="40" applyNumberFormat="1" applyFont="1" applyAlignment="1">
      <alignment horizontal="center"/>
      <protection locked="0"/>
    </xf>
    <xf numFmtId="39" fontId="85" fillId="0" borderId="0" xfId="40" applyNumberFormat="1" applyFont="1" applyAlignment="1">
      <alignment horizontal="left" vertical="center"/>
      <protection locked="0"/>
    </xf>
    <xf numFmtId="39" fontId="56" fillId="0" borderId="30" xfId="40" applyNumberFormat="1" applyFont="1" applyBorder="1" applyAlignment="1">
      <alignment horizontal="right"/>
      <protection locked="0"/>
    </xf>
    <xf numFmtId="39" fontId="56" fillId="0" borderId="30" xfId="40" applyNumberFormat="1" applyFont="1" applyBorder="1" applyAlignment="1">
      <alignment horizontal="center"/>
      <protection locked="0"/>
    </xf>
    <xf numFmtId="0" fontId="161" fillId="0" borderId="0" xfId="40" applyFont="1" applyAlignment="1">
      <alignment horizontal="left" vertical="center"/>
      <protection locked="0"/>
    </xf>
    <xf numFmtId="0" fontId="94" fillId="0" borderId="0" xfId="40" applyFont="1" applyAlignment="1">
      <alignment vertical="top" wrapText="1"/>
      <protection locked="0"/>
    </xf>
    <xf numFmtId="0" fontId="95" fillId="0" borderId="0" xfId="40" applyFont="1" applyAlignment="1">
      <alignment horizontal="left" vertical="center" textRotation="90" wrapText="1"/>
      <protection locked="0"/>
    </xf>
    <xf numFmtId="0" fontId="59" fillId="0" borderId="30" xfId="40" applyFont="1" applyBorder="1" applyAlignment="1">
      <alignment horizontal="left" wrapText="1"/>
      <protection locked="0"/>
    </xf>
    <xf numFmtId="2" fontId="59" fillId="0" borderId="30" xfId="40" applyNumberFormat="1" applyFont="1" applyBorder="1" applyAlignment="1">
      <alignment horizontal="left"/>
      <protection locked="0"/>
    </xf>
    <xf numFmtId="167" fontId="59" fillId="0" borderId="30" xfId="40" applyNumberFormat="1" applyFont="1" applyBorder="1" applyAlignment="1">
      <alignment horizontal="right"/>
      <protection locked="0"/>
    </xf>
    <xf numFmtId="0" fontId="62" fillId="0" borderId="30" xfId="40" applyFont="1" applyBorder="1" applyAlignment="1">
      <alignment vertical="top"/>
      <protection locked="0"/>
    </xf>
    <xf numFmtId="0" fontId="106" fillId="0" borderId="0" xfId="40" applyFont="1" applyAlignment="1">
      <alignment horizontal="left" vertical="center"/>
      <protection locked="0"/>
    </xf>
    <xf numFmtId="167" fontId="0" fillId="0" borderId="0" xfId="0" applyNumberFormat="1" applyAlignment="1">
      <alignment horizontal="left" vertical="top"/>
      <protection locked="0"/>
    </xf>
    <xf numFmtId="0" fontId="99" fillId="0" borderId="0" xfId="0" applyFont="1" applyAlignment="1">
      <alignment horizontal="left" vertical="center"/>
      <protection locked="0"/>
    </xf>
    <xf numFmtId="0" fontId="28" fillId="0" borderId="0" xfId="0" applyFont="1" applyAlignment="1">
      <alignment horizontal="left" vertical="center"/>
      <protection locked="0"/>
    </xf>
    <xf numFmtId="0" fontId="162" fillId="0" borderId="0" xfId="0" applyFont="1" applyAlignment="1">
      <alignment horizontal="left"/>
      <protection locked="0"/>
    </xf>
    <xf numFmtId="0" fontId="49" fillId="0" borderId="0" xfId="0" applyFont="1" applyAlignment="1">
      <alignment vertical="center"/>
      <protection locked="0"/>
    </xf>
    <xf numFmtId="167" fontId="13" fillId="0" borderId="0" xfId="28" applyNumberFormat="1" applyAlignment="1">
      <alignment horizontal="left" vertical="top"/>
      <protection locked="0"/>
    </xf>
    <xf numFmtId="37" fontId="56" fillId="0" borderId="30" xfId="40" applyNumberFormat="1" applyFont="1" applyBorder="1" applyAlignment="1">
      <alignment horizontal="right" vertical="center"/>
      <protection locked="0"/>
    </xf>
    <xf numFmtId="167" fontId="101" fillId="0" borderId="30" xfId="0" applyNumberFormat="1" applyFont="1" applyBorder="1" applyAlignment="1">
      <alignment horizontal="right" vertical="center" wrapText="1"/>
      <protection locked="0"/>
    </xf>
    <xf numFmtId="39" fontId="68"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9" fillId="0" borderId="0" xfId="28" applyFont="1" applyAlignment="1">
      <alignment horizontal="left" vertical="center"/>
      <protection locked="0"/>
    </xf>
    <xf numFmtId="0" fontId="163" fillId="0" borderId="0" xfId="28" applyFont="1" applyAlignment="1">
      <alignment horizontal="right" vertical="center"/>
      <protection locked="0"/>
    </xf>
    <xf numFmtId="37" fontId="10" fillId="0" borderId="0" xfId="28" applyNumberFormat="1" applyFont="1" applyAlignment="1">
      <alignment horizontal="left" vertical="center"/>
      <protection locked="0"/>
    </xf>
    <xf numFmtId="0" fontId="10" fillId="0" borderId="0" xfId="28" applyFont="1" applyAlignment="1">
      <alignment horizontal="left" wrapText="1"/>
      <protection locked="0"/>
    </xf>
    <xf numFmtId="0" fontId="39" fillId="0" borderId="0" xfId="28" applyFont="1" applyAlignment="1">
      <alignment horizontal="left" wrapText="1"/>
      <protection locked="0"/>
    </xf>
    <xf numFmtId="2" fontId="39" fillId="0" borderId="0" xfId="28" applyNumberFormat="1" applyFont="1" applyAlignment="1">
      <alignment horizontal="right"/>
      <protection locked="0"/>
    </xf>
    <xf numFmtId="39" fontId="39" fillId="0" borderId="0" xfId="28" applyNumberFormat="1" applyFont="1" applyAlignment="1">
      <alignment horizontal="right"/>
      <protection locked="0"/>
    </xf>
    <xf numFmtId="0" fontId="105" fillId="0" borderId="30" xfId="0" applyFont="1" applyBorder="1" applyAlignment="1">
      <alignment vertical="top" wrapText="1"/>
      <protection locked="0"/>
    </xf>
    <xf numFmtId="0" fontId="13" fillId="0" borderId="30" xfId="0" applyFont="1" applyBorder="1" applyAlignment="1">
      <alignment vertical="top"/>
      <protection locked="0"/>
    </xf>
    <xf numFmtId="0" fontId="164" fillId="0" borderId="30" xfId="0" applyFont="1" applyBorder="1" applyAlignment="1">
      <alignment horizontal="right" vertical="center"/>
      <protection locked="0"/>
    </xf>
    <xf numFmtId="2" fontId="54" fillId="0" borderId="0" xfId="45" applyNumberFormat="1" applyFont="1" applyAlignment="1">
      <alignment horizontal="left" vertical="center"/>
      <protection locked="0"/>
    </xf>
    <xf numFmtId="37" fontId="68" fillId="0" borderId="30" xfId="45" applyNumberFormat="1" applyFont="1" applyBorder="1" applyAlignment="1">
      <alignment horizontal="right"/>
      <protection locked="0"/>
    </xf>
    <xf numFmtId="37" fontId="30" fillId="0" borderId="30" xfId="45" applyNumberFormat="1" applyFont="1" applyBorder="1" applyAlignment="1">
      <alignment horizontal="right"/>
      <protection locked="0"/>
    </xf>
    <xf numFmtId="4" fontId="74" fillId="5" borderId="30" xfId="45" applyNumberFormat="1" applyFont="1" applyFill="1" applyBorder="1" applyAlignment="1">
      <alignment horizontal="right"/>
      <protection locked="0"/>
    </xf>
    <xf numFmtId="4" fontId="74" fillId="5" borderId="30" xfId="59" applyNumberFormat="1" applyFont="1" applyFill="1" applyBorder="1" applyAlignment="1" applyProtection="1">
      <alignment horizontal="right"/>
      <protection locked="0"/>
    </xf>
    <xf numFmtId="167" fontId="33" fillId="0" borderId="0" xfId="45" applyNumberFormat="1" applyAlignment="1">
      <alignment vertical="top"/>
      <protection locked="0"/>
    </xf>
    <xf numFmtId="0" fontId="54" fillId="0" borderId="0" xfId="45" applyFont="1" applyAlignment="1">
      <alignment horizontal="left" vertical="top"/>
      <protection locked="0"/>
    </xf>
    <xf numFmtId="167" fontId="39" fillId="0" borderId="30" xfId="45" applyNumberFormat="1" applyFont="1" applyBorder="1" applyAlignment="1">
      <alignment horizontal="right"/>
      <protection locked="0"/>
    </xf>
    <xf numFmtId="0" fontId="83" fillId="0" borderId="0" xfId="45" applyFont="1" applyAlignment="1">
      <alignment horizontal="right" vertical="center"/>
      <protection locked="0"/>
    </xf>
    <xf numFmtId="167" fontId="33" fillId="0" borderId="0" xfId="45" applyNumberFormat="1" applyAlignment="1">
      <alignment horizontal="left" vertical="top"/>
      <protection locked="0"/>
    </xf>
    <xf numFmtId="0" fontId="149" fillId="0" borderId="0" xfId="45" applyFont="1" applyAlignment="1">
      <alignment vertical="center"/>
      <protection locked="0"/>
    </xf>
    <xf numFmtId="4" fontId="102" fillId="0" borderId="0" xfId="45" applyNumberFormat="1" applyFont="1" applyAlignment="1">
      <alignment horizontal="center" vertical="center"/>
      <protection locked="0"/>
    </xf>
    <xf numFmtId="0" fontId="50" fillId="0" borderId="30" xfId="45" applyFont="1" applyBorder="1" applyAlignment="1">
      <alignment horizontal="left" wrapText="1"/>
      <protection locked="0"/>
    </xf>
    <xf numFmtId="167" fontId="74" fillId="0" borderId="30" xfId="45" applyNumberFormat="1" applyFont="1" applyBorder="1" applyAlignment="1">
      <alignment horizontal="right"/>
      <protection locked="0"/>
    </xf>
    <xf numFmtId="4" fontId="50" fillId="0" borderId="30" xfId="45" applyNumberFormat="1" applyFont="1" applyBorder="1" applyAlignment="1">
      <alignment horizontal="right"/>
      <protection locked="0"/>
    </xf>
    <xf numFmtId="39" fontId="50" fillId="0" borderId="30" xfId="45" applyNumberFormat="1" applyFont="1" applyBorder="1" applyAlignment="1">
      <alignment horizontal="center"/>
      <protection locked="0"/>
    </xf>
    <xf numFmtId="37" fontId="39" fillId="0" borderId="30" xfId="28" applyNumberFormat="1" applyFont="1" applyBorder="1" applyAlignment="1">
      <alignment horizontal="right"/>
      <protection locked="0"/>
    </xf>
    <xf numFmtId="167" fontId="39" fillId="0" borderId="30" xfId="28" applyNumberFormat="1" applyFont="1" applyBorder="1" applyAlignment="1">
      <alignment horizontal="right"/>
      <protection locked="0"/>
    </xf>
    <xf numFmtId="39" fontId="39" fillId="0" borderId="30" xfId="28" applyNumberFormat="1" applyFont="1" applyBorder="1" applyAlignment="1">
      <alignment horizontal="right"/>
      <protection locked="0"/>
    </xf>
    <xf numFmtId="0" fontId="94" fillId="0" borderId="39" xfId="48" applyFont="1" applyBorder="1" applyAlignment="1">
      <alignment vertical="top" wrapText="1"/>
      <protection locked="0"/>
    </xf>
    <xf numFmtId="167" fontId="10" fillId="0" borderId="30" xfId="28" applyNumberFormat="1" applyFont="1" applyBorder="1" applyAlignment="1">
      <alignment horizontal="right"/>
      <protection locked="0"/>
    </xf>
    <xf numFmtId="39" fontId="83" fillId="0" borderId="0" xfId="28" applyNumberFormat="1" applyFont="1" applyAlignment="1">
      <alignment horizontal="right" vertical="center"/>
      <protection locked="0"/>
    </xf>
    <xf numFmtId="37" fontId="68" fillId="0" borderId="30" xfId="28" applyNumberFormat="1" applyFont="1" applyBorder="1" applyAlignment="1">
      <alignment horizontal="right"/>
      <protection locked="0"/>
    </xf>
    <xf numFmtId="39" fontId="68" fillId="0" borderId="30" xfId="28" applyNumberFormat="1" applyFont="1" applyBorder="1" applyAlignment="1">
      <alignment horizontal="right"/>
      <protection locked="0"/>
    </xf>
    <xf numFmtId="0" fontId="123" fillId="0" borderId="0" xfId="0" applyFont="1" applyAlignment="1" applyProtection="1">
      <alignment vertical="center"/>
    </xf>
    <xf numFmtId="0" fontId="41" fillId="0" borderId="0" xfId="0" applyFont="1" applyAlignment="1">
      <alignment horizontal="left" vertical="center"/>
      <protection locked="0"/>
    </xf>
    <xf numFmtId="4" fontId="165" fillId="0" borderId="0" xfId="0" applyNumberFormat="1" applyFont="1" applyAlignment="1">
      <alignment horizontal="right" vertical="top"/>
      <protection locked="0"/>
    </xf>
    <xf numFmtId="0" fontId="12" fillId="0" borderId="0" xfId="0" applyFont="1" applyAlignment="1">
      <alignment horizontal="left" vertical="top"/>
      <protection locked="0"/>
    </xf>
    <xf numFmtId="39" fontId="124" fillId="0" borderId="30" xfId="62" applyNumberFormat="1" applyFont="1" applyBorder="1" applyAlignment="1" applyProtection="1">
      <alignment horizontal="right" vertical="center"/>
      <protection locked="0"/>
    </xf>
    <xf numFmtId="0" fontId="125" fillId="0" borderId="0" xfId="51" applyFill="1" applyAlignment="1">
      <alignment vertical="center"/>
      <protection locked="0"/>
    </xf>
    <xf numFmtId="0" fontId="31" fillId="0" borderId="0" xfId="60" applyFont="1" applyAlignment="1">
      <alignment vertical="center"/>
      <protection locked="0"/>
    </xf>
    <xf numFmtId="4" fontId="165" fillId="0" borderId="0" xfId="0" applyNumberFormat="1" applyFont="1" applyAlignment="1">
      <alignment horizontal="left" vertical="top"/>
      <protection locked="0"/>
    </xf>
    <xf numFmtId="0" fontId="12" fillId="0" borderId="0" xfId="0" applyFont="1" applyAlignment="1">
      <alignment horizontal="left" vertical="center"/>
      <protection locked="0"/>
    </xf>
    <xf numFmtId="39" fontId="83" fillId="0" borderId="0" xfId="0" applyNumberFormat="1" applyFont="1" applyAlignment="1">
      <alignment horizontal="right" vertical="center"/>
      <protection locked="0"/>
    </xf>
    <xf numFmtId="0" fontId="97" fillId="0" borderId="0" xfId="0" applyFont="1" applyAlignment="1">
      <alignment horizontal="center" vertical="center"/>
      <protection locked="0"/>
    </xf>
    <xf numFmtId="37" fontId="88" fillId="0" borderId="0" xfId="45" applyNumberFormat="1" applyFont="1" applyAlignment="1">
      <alignment horizontal="right"/>
      <protection locked="0"/>
    </xf>
    <xf numFmtId="0" fontId="88" fillId="0" borderId="0" xfId="45" applyFont="1" applyAlignment="1">
      <alignment horizontal="left" wrapText="1"/>
      <protection locked="0"/>
    </xf>
    <xf numFmtId="170" fontId="88" fillId="0" borderId="0" xfId="45" applyNumberFormat="1" applyFont="1" applyAlignment="1">
      <alignment horizontal="right"/>
      <protection locked="0"/>
    </xf>
    <xf numFmtId="39" fontId="88" fillId="0" borderId="0" xfId="45" applyNumberFormat="1" applyFont="1" applyAlignment="1">
      <alignment horizontal="right"/>
      <protection locked="0"/>
    </xf>
    <xf numFmtId="37" fontId="33" fillId="0" borderId="0" xfId="45" applyNumberFormat="1" applyAlignment="1">
      <alignment horizontal="right" vertical="top"/>
      <protection locked="0"/>
    </xf>
    <xf numFmtId="0" fontId="33" fillId="0" borderId="0" xfId="45" applyAlignment="1">
      <alignment horizontal="left" vertical="top" wrapText="1"/>
      <protection locked="0"/>
    </xf>
    <xf numFmtId="170" fontId="33" fillId="0" borderId="0" xfId="45" applyNumberFormat="1" applyAlignment="1">
      <alignment horizontal="right" vertical="top"/>
      <protection locked="0"/>
    </xf>
    <xf numFmtId="39" fontId="33" fillId="0" borderId="0" xfId="45" applyNumberFormat="1" applyAlignment="1">
      <alignment horizontal="right" vertical="top"/>
      <protection locked="0"/>
    </xf>
    <xf numFmtId="0" fontId="9" fillId="0" borderId="0" xfId="45" applyFont="1" applyAlignment="1">
      <alignment horizontal="left" vertical="top"/>
      <protection locked="0"/>
    </xf>
    <xf numFmtId="0" fontId="39" fillId="0" borderId="32" xfId="45" applyFont="1" applyBorder="1" applyAlignment="1">
      <alignment horizontal="left"/>
      <protection locked="0"/>
    </xf>
    <xf numFmtId="0" fontId="68" fillId="0" borderId="33" xfId="45" applyFont="1" applyBorder="1" applyAlignment="1">
      <alignment horizontal="center"/>
      <protection locked="0"/>
    </xf>
    <xf numFmtId="170" fontId="68" fillId="0" borderId="33" xfId="45" applyNumberFormat="1" applyFont="1" applyBorder="1" applyAlignment="1">
      <alignment horizontal="right"/>
      <protection locked="0"/>
    </xf>
    <xf numFmtId="39" fontId="68" fillId="0" borderId="33" xfId="45" applyNumberFormat="1" applyFont="1" applyBorder="1" applyAlignment="1">
      <alignment horizontal="right"/>
      <protection locked="0"/>
    </xf>
    <xf numFmtId="4" fontId="33" fillId="0" borderId="0" xfId="45" applyNumberFormat="1" applyAlignment="1">
      <alignment horizontal="left" vertical="top"/>
      <protection locked="0"/>
    </xf>
    <xf numFmtId="37" fontId="68" fillId="0" borderId="0" xfId="45" applyNumberFormat="1" applyFont="1" applyAlignment="1">
      <alignment horizontal="right"/>
      <protection locked="0"/>
    </xf>
    <xf numFmtId="0" fontId="68" fillId="0" borderId="0" xfId="45" applyFont="1" applyAlignment="1">
      <alignment horizontal="left" wrapText="1"/>
      <protection locked="0"/>
    </xf>
    <xf numFmtId="0" fontId="10" fillId="0" borderId="0" xfId="45" applyFont="1" applyAlignment="1">
      <alignment horizontal="left" wrapText="1"/>
      <protection locked="0"/>
    </xf>
    <xf numFmtId="0" fontId="68" fillId="0" borderId="0" xfId="45" applyFont="1" applyAlignment="1">
      <alignment horizontal="center" wrapText="1"/>
      <protection locked="0"/>
    </xf>
    <xf numFmtId="170" fontId="68" fillId="0" borderId="0" xfId="45" applyNumberFormat="1" applyFont="1" applyAlignment="1">
      <alignment horizontal="right"/>
      <protection locked="0"/>
    </xf>
    <xf numFmtId="39" fontId="68" fillId="0" borderId="0" xfId="45" applyNumberFormat="1" applyFont="1" applyAlignment="1">
      <alignment horizontal="right"/>
      <protection locked="0"/>
    </xf>
    <xf numFmtId="39" fontId="10" fillId="0" borderId="0" xfId="45" applyNumberFormat="1" applyFont="1" applyAlignment="1">
      <alignment horizontal="right"/>
      <protection locked="0"/>
    </xf>
    <xf numFmtId="0" fontId="9" fillId="0" borderId="0" xfId="43" applyAlignment="1">
      <alignment horizontal="left" vertical="top"/>
    </xf>
    <xf numFmtId="37" fontId="13" fillId="0" borderId="0" xfId="28" applyNumberFormat="1" applyAlignment="1">
      <alignment horizontal="right" vertical="top"/>
      <protection locked="0"/>
    </xf>
    <xf numFmtId="0" fontId="13" fillId="0" borderId="0" xfId="28" applyAlignment="1">
      <alignment horizontal="left" vertical="top" wrapText="1"/>
      <protection locked="0"/>
    </xf>
    <xf numFmtId="170" fontId="13" fillId="0" borderId="0" xfId="28" applyNumberFormat="1" applyAlignment="1">
      <alignment horizontal="right" vertical="top"/>
      <protection locked="0"/>
    </xf>
    <xf numFmtId="39" fontId="13" fillId="0" borderId="0" xfId="28" applyNumberFormat="1" applyAlignment="1">
      <alignment horizontal="right" vertical="top"/>
      <protection locked="0"/>
    </xf>
    <xf numFmtId="0" fontId="40" fillId="0" borderId="0" xfId="63"/>
    <xf numFmtId="0" fontId="33" fillId="0" borderId="0" xfId="45" applyAlignment="1">
      <alignment wrapText="1"/>
      <protection locked="0"/>
    </xf>
    <xf numFmtId="0" fontId="42" fillId="0" borderId="30" xfId="28" applyFont="1" applyBorder="1" applyAlignment="1" applyProtection="1">
      <alignment horizontal="center" vertical="center"/>
    </xf>
    <xf numFmtId="0" fontId="42" fillId="0" borderId="30" xfId="28" applyFont="1" applyBorder="1" applyAlignment="1" applyProtection="1">
      <alignment horizontal="left" vertical="center"/>
    </xf>
    <xf numFmtId="0" fontId="44" fillId="0" borderId="30" xfId="28" applyFont="1" applyBorder="1" applyAlignment="1" applyProtection="1">
      <alignment horizontal="left" vertical="center" wrapText="1"/>
    </xf>
    <xf numFmtId="0" fontId="43" fillId="0" borderId="40" xfId="28" applyFont="1" applyBorder="1" applyAlignment="1" applyProtection="1">
      <alignment horizontal="left" vertical="center"/>
    </xf>
    <xf numFmtId="39" fontId="44" fillId="0" borderId="40" xfId="28" applyNumberFormat="1" applyFont="1" applyBorder="1" applyAlignment="1" applyProtection="1">
      <alignment horizontal="right" vertical="center"/>
    </xf>
    <xf numFmtId="0" fontId="38" fillId="0" borderId="0" xfId="27" applyFont="1" applyAlignment="1" applyProtection="1">
      <alignment horizontal="left"/>
    </xf>
    <xf numFmtId="0" fontId="13" fillId="0" borderId="0" xfId="27" applyAlignment="1" applyProtection="1">
      <alignment vertical="top"/>
    </xf>
    <xf numFmtId="167" fontId="13" fillId="0" borderId="0" xfId="27" applyNumberFormat="1" applyAlignment="1" applyProtection="1">
      <alignment vertical="top"/>
    </xf>
    <xf numFmtId="0" fontId="9" fillId="0" borderId="0" xfId="65"/>
    <xf numFmtId="0" fontId="9" fillId="0" borderId="0" xfId="66" applyAlignment="1" applyProtection="1">
      <alignment horizontal="left" wrapText="1"/>
      <protection locked="0"/>
    </xf>
    <xf numFmtId="167" fontId="33" fillId="0" borderId="0" xfId="46" applyNumberFormat="1" applyAlignment="1">
      <alignment vertical="top"/>
      <protection locked="0"/>
    </xf>
    <xf numFmtId="0" fontId="39" fillId="0" borderId="0" xfId="46" applyFont="1" applyAlignment="1">
      <alignment vertical="top"/>
      <protection locked="0"/>
    </xf>
    <xf numFmtId="0" fontId="10" fillId="0" borderId="0" xfId="46" applyFont="1" applyAlignment="1">
      <alignment vertical="top"/>
      <protection locked="0"/>
    </xf>
    <xf numFmtId="0" fontId="39" fillId="0" borderId="0" xfId="28" applyFont="1" applyAlignment="1" applyProtection="1"/>
    <xf numFmtId="0" fontId="10" fillId="0" borderId="0" xfId="64" applyFont="1" applyAlignment="1">
      <alignment horizontal="left"/>
    </xf>
    <xf numFmtId="0" fontId="10" fillId="0" borderId="0" xfId="65" applyFont="1" applyAlignment="1">
      <alignment horizontal="left"/>
    </xf>
    <xf numFmtId="167" fontId="38" fillId="0" borderId="0" xfId="65" applyNumberFormat="1" applyFont="1" applyAlignment="1">
      <alignment horizontal="left"/>
    </xf>
    <xf numFmtId="0" fontId="38" fillId="0" borderId="0" xfId="65" applyFont="1" applyAlignment="1">
      <alignment horizontal="left"/>
    </xf>
    <xf numFmtId="0" fontId="9" fillId="0" borderId="0" xfId="65" applyAlignment="1">
      <alignment horizontal="left" vertical="top"/>
    </xf>
    <xf numFmtId="0" fontId="166" fillId="0" borderId="0" xfId="65" applyFont="1"/>
    <xf numFmtId="0" fontId="45" fillId="0" borderId="0" xfId="65" applyFont="1" applyAlignment="1">
      <alignment horizontal="left"/>
    </xf>
    <xf numFmtId="0" fontId="38" fillId="0" borderId="0" xfId="65" applyFont="1" applyAlignment="1">
      <alignment horizontal="center"/>
    </xf>
    <xf numFmtId="0" fontId="46" fillId="0" borderId="0" xfId="65" applyFont="1" applyAlignment="1">
      <alignment horizontal="right" vertical="top"/>
    </xf>
    <xf numFmtId="0" fontId="47" fillId="0" borderId="31" xfId="65" applyFont="1" applyBorder="1" applyAlignment="1">
      <alignment horizontal="center" vertical="center" wrapText="1"/>
    </xf>
    <xf numFmtId="167" fontId="47" fillId="0" borderId="31" xfId="65" applyNumberFormat="1" applyFont="1" applyBorder="1" applyAlignment="1">
      <alignment horizontal="center" vertical="center" wrapText="1"/>
    </xf>
    <xf numFmtId="0" fontId="47" fillId="0" borderId="12" xfId="65" applyFont="1" applyBorder="1" applyAlignment="1">
      <alignment horizontal="center" vertical="center" wrapText="1"/>
    </xf>
    <xf numFmtId="0" fontId="69" fillId="0" borderId="0" xfId="24" applyFont="1" applyAlignment="1" applyProtection="1">
      <alignment horizontal="left" vertical="center"/>
      <protection locked="0"/>
    </xf>
    <xf numFmtId="0" fontId="105" fillId="0" borderId="0" xfId="65" applyFont="1" applyAlignment="1">
      <alignment horizontal="center" vertical="center"/>
    </xf>
    <xf numFmtId="37" fontId="10" fillId="0" borderId="37" xfId="65" applyNumberFormat="1" applyFont="1" applyBorder="1" applyAlignment="1" applyProtection="1">
      <alignment horizontal="right"/>
      <protection locked="0"/>
    </xf>
    <xf numFmtId="0" fontId="39" fillId="0" borderId="0" xfId="64" applyFont="1" applyAlignment="1" applyProtection="1">
      <alignment horizontal="left" wrapText="1"/>
      <protection locked="0"/>
    </xf>
    <xf numFmtId="0" fontId="39" fillId="0" borderId="37" xfId="65" applyFont="1" applyBorder="1" applyAlignment="1" applyProtection="1">
      <alignment horizontal="left" wrapText="1"/>
      <protection locked="0"/>
    </xf>
    <xf numFmtId="167" fontId="39" fillId="0" borderId="37" xfId="65" applyNumberFormat="1" applyFont="1" applyBorder="1" applyAlignment="1" applyProtection="1">
      <alignment horizontal="right"/>
      <protection locked="0"/>
    </xf>
    <xf numFmtId="39" fontId="39" fillId="0" borderId="37" xfId="65" applyNumberFormat="1" applyFont="1" applyBorder="1" applyAlignment="1" applyProtection="1">
      <alignment horizontal="right"/>
      <protection locked="0"/>
    </xf>
    <xf numFmtId="39" fontId="50" fillId="0" borderId="37" xfId="65" applyNumberFormat="1" applyFont="1" applyBorder="1" applyAlignment="1" applyProtection="1">
      <alignment horizontal="center"/>
      <protection locked="0"/>
    </xf>
    <xf numFmtId="0" fontId="167" fillId="0" borderId="0" xfId="24" applyFont="1" applyAlignment="1" applyProtection="1">
      <alignment horizontal="right"/>
      <protection locked="0"/>
    </xf>
    <xf numFmtId="0" fontId="10" fillId="0" borderId="0" xfId="24" applyFont="1" applyAlignment="1" applyProtection="1">
      <alignment horizontal="left" vertical="center"/>
      <protection locked="0"/>
    </xf>
    <xf numFmtId="49" fontId="10" fillId="0" borderId="30" xfId="40" applyNumberFormat="1" applyFont="1" applyBorder="1" applyAlignment="1">
      <alignment horizontal="left" wrapText="1"/>
      <protection locked="0"/>
    </xf>
    <xf numFmtId="0" fontId="87" fillId="0" borderId="39" xfId="40" applyFont="1" applyBorder="1" applyAlignment="1">
      <alignment horizontal="left" vertical="center"/>
      <protection locked="0"/>
    </xf>
    <xf numFmtId="0" fontId="85" fillId="0" borderId="0" xfId="40" applyFont="1" applyAlignment="1">
      <alignment horizontal="left" vertical="center"/>
      <protection locked="0"/>
    </xf>
    <xf numFmtId="0" fontId="168" fillId="0" borderId="39" xfId="40" applyFont="1" applyBorder="1" applyAlignment="1">
      <alignment horizontal="left" vertical="center"/>
      <protection locked="0"/>
    </xf>
    <xf numFmtId="0" fontId="169" fillId="0" borderId="0" xfId="40" applyFont="1" applyAlignment="1">
      <alignment vertical="top" wrapText="1"/>
      <protection locked="0"/>
    </xf>
    <xf numFmtId="0" fontId="168" fillId="0" borderId="0" xfId="40" applyFont="1" applyAlignment="1">
      <alignment horizontal="left" vertical="center"/>
      <protection locked="0"/>
    </xf>
    <xf numFmtId="0" fontId="10" fillId="0" borderId="0" xfId="25" applyFont="1" applyAlignment="1" applyProtection="1">
      <alignment horizontal="left" vertical="top"/>
      <protection locked="0"/>
    </xf>
    <xf numFmtId="2" fontId="170" fillId="0" borderId="0" xfId="25" applyNumberFormat="1" applyFont="1" applyAlignment="1" applyProtection="1">
      <alignment horizontal="left" vertical="top"/>
      <protection locked="0"/>
    </xf>
    <xf numFmtId="0" fontId="111" fillId="0" borderId="0" xfId="25" applyFont="1" applyAlignment="1" applyProtection="1">
      <alignment horizontal="left" vertical="top"/>
      <protection locked="0"/>
    </xf>
    <xf numFmtId="49" fontId="74" fillId="0" borderId="30" xfId="3" applyNumberFormat="1" applyFont="1" applyBorder="1" applyAlignment="1" applyProtection="1">
      <alignment horizontal="left" wrapText="1"/>
      <protection locked="0"/>
    </xf>
    <xf numFmtId="0" fontId="39" fillId="0" borderId="0" xfId="25" applyFont="1" applyAlignment="1" applyProtection="1">
      <alignment horizontal="left" vertical="top"/>
      <protection locked="0"/>
    </xf>
    <xf numFmtId="167" fontId="74" fillId="0" borderId="30" xfId="3" applyNumberFormat="1" applyFont="1" applyBorder="1" applyAlignment="1" applyProtection="1">
      <alignment horizontal="right" wrapText="1"/>
      <protection locked="0"/>
    </xf>
    <xf numFmtId="0" fontId="170" fillId="0" borderId="0" xfId="25" applyFont="1" applyAlignment="1" applyProtection="1">
      <alignment horizontal="left" vertical="top"/>
      <protection locked="0"/>
    </xf>
    <xf numFmtId="0" fontId="160" fillId="0" borderId="0" xfId="25" applyFont="1" applyAlignment="1" applyProtection="1">
      <alignment vertical="top" wrapText="1"/>
      <protection locked="0"/>
    </xf>
    <xf numFmtId="0" fontId="94" fillId="0" borderId="0" xfId="25" applyFont="1" applyAlignment="1" applyProtection="1">
      <alignment vertical="top" wrapText="1"/>
      <protection locked="0"/>
    </xf>
    <xf numFmtId="0" fontId="30" fillId="0" borderId="0" xfId="25" applyFont="1" applyAlignment="1" applyProtection="1">
      <alignment horizontal="left" wrapText="1"/>
      <protection locked="0"/>
    </xf>
    <xf numFmtId="0" fontId="10" fillId="0" borderId="0" xfId="25" applyFont="1" applyAlignment="1" applyProtection="1">
      <alignment horizontal="left" wrapText="1"/>
      <protection locked="0"/>
    </xf>
    <xf numFmtId="2" fontId="10" fillId="0" borderId="0" xfId="25" applyNumberFormat="1" applyFont="1" applyAlignment="1" applyProtection="1">
      <alignment horizontal="right"/>
      <protection locked="0"/>
    </xf>
    <xf numFmtId="39" fontId="10" fillId="0" borderId="0" xfId="25" applyNumberFormat="1" applyFont="1" applyAlignment="1" applyProtection="1">
      <alignment horizontal="right"/>
      <protection locked="0"/>
    </xf>
    <xf numFmtId="39" fontId="10" fillId="0" borderId="0" xfId="25" applyNumberFormat="1" applyFont="1" applyAlignment="1" applyProtection="1">
      <alignment horizontal="center"/>
      <protection locked="0"/>
    </xf>
    <xf numFmtId="39" fontId="87" fillId="0" borderId="30" xfId="40" applyNumberFormat="1" applyFont="1" applyBorder="1" applyAlignment="1">
      <alignment horizontal="right"/>
      <protection locked="0"/>
    </xf>
    <xf numFmtId="2" fontId="18" fillId="0" borderId="0" xfId="40" applyNumberFormat="1" applyFont="1" applyAlignment="1">
      <alignment horizontal="left" vertical="center"/>
      <protection locked="0"/>
    </xf>
    <xf numFmtId="37" fontId="39" fillId="0" borderId="30" xfId="25" applyNumberFormat="1" applyFont="1" applyBorder="1" applyAlignment="1" applyProtection="1">
      <alignment horizontal="right"/>
      <protection locked="0"/>
    </xf>
    <xf numFmtId="0" fontId="9" fillId="0" borderId="30" xfId="25" applyBorder="1" applyAlignment="1" applyProtection="1">
      <alignment vertical="top"/>
      <protection locked="0"/>
    </xf>
    <xf numFmtId="49" fontId="10" fillId="0" borderId="30" xfId="25" applyNumberFormat="1" applyFont="1" applyBorder="1" applyAlignment="1" applyProtection="1">
      <alignment horizontal="right" wrapText="1"/>
      <protection locked="0"/>
    </xf>
    <xf numFmtId="2" fontId="171" fillId="0" borderId="0" xfId="25" applyNumberFormat="1" applyFont="1" applyAlignment="1" applyProtection="1">
      <alignment horizontal="left" vertical="center"/>
      <protection locked="0"/>
    </xf>
    <xf numFmtId="2" fontId="45" fillId="0" borderId="0" xfId="25" applyNumberFormat="1" applyFont="1" applyAlignment="1" applyProtection="1">
      <alignment horizontal="left" vertical="center"/>
      <protection locked="0"/>
    </xf>
    <xf numFmtId="0" fontId="137" fillId="0" borderId="0" xfId="25" applyFont="1" applyAlignment="1" applyProtection="1">
      <alignment horizontal="left" vertical="center"/>
      <protection locked="0"/>
    </xf>
    <xf numFmtId="0" fontId="172" fillId="0" borderId="0" xfId="25" applyFont="1" applyAlignment="1" applyProtection="1">
      <alignment horizontal="left" vertical="center" wrapText="1"/>
      <protection locked="0"/>
    </xf>
    <xf numFmtId="37" fontId="56" fillId="0" borderId="30" xfId="25" applyNumberFormat="1" applyFont="1" applyBorder="1" applyAlignment="1" applyProtection="1">
      <alignment horizontal="right"/>
      <protection locked="0"/>
    </xf>
    <xf numFmtId="49" fontId="56" fillId="0" borderId="30" xfId="25" applyNumberFormat="1" applyFont="1" applyBorder="1" applyAlignment="1" applyProtection="1">
      <alignment horizontal="left" wrapText="1"/>
      <protection locked="0"/>
    </xf>
    <xf numFmtId="0" fontId="56" fillId="0" borderId="30" xfId="25" applyFont="1" applyBorder="1" applyAlignment="1" applyProtection="1">
      <alignment horizontal="left" wrapText="1"/>
      <protection locked="0"/>
    </xf>
    <xf numFmtId="0" fontId="56" fillId="0" borderId="30" xfId="25" applyFont="1" applyBorder="1" applyProtection="1">
      <protection locked="0"/>
    </xf>
    <xf numFmtId="167" fontId="56" fillId="0" borderId="30" xfId="25" applyNumberFormat="1" applyFont="1" applyBorder="1" applyAlignment="1" applyProtection="1">
      <alignment horizontal="right"/>
      <protection locked="0"/>
    </xf>
    <xf numFmtId="39" fontId="56" fillId="0" borderId="30" xfId="25" applyNumberFormat="1" applyFont="1" applyBorder="1" applyAlignment="1" applyProtection="1">
      <alignment horizontal="right"/>
      <protection locked="0"/>
    </xf>
    <xf numFmtId="39" fontId="56" fillId="0" borderId="30" xfId="25" applyNumberFormat="1" applyFont="1" applyBorder="1" applyAlignment="1" applyProtection="1">
      <alignment horizontal="center"/>
      <protection locked="0"/>
    </xf>
    <xf numFmtId="2" fontId="56" fillId="0" borderId="0" xfId="25" applyNumberFormat="1" applyFont="1" applyAlignment="1" applyProtection="1">
      <alignment horizontal="right"/>
      <protection locked="0"/>
    </xf>
    <xf numFmtId="39" fontId="56" fillId="0" borderId="0" xfId="25" applyNumberFormat="1" applyFont="1" applyAlignment="1" applyProtection="1">
      <alignment horizontal="right"/>
      <protection locked="0"/>
    </xf>
    <xf numFmtId="49" fontId="10" fillId="0" borderId="30" xfId="40" applyNumberFormat="1" applyFont="1" applyBorder="1" applyAlignment="1">
      <alignment horizontal="right" wrapText="1"/>
      <protection locked="0"/>
    </xf>
    <xf numFmtId="0" fontId="166" fillId="0" borderId="0" xfId="40" applyFont="1" applyAlignment="1">
      <alignment horizontal="left" vertical="top"/>
      <protection locked="0"/>
    </xf>
    <xf numFmtId="0" fontId="173" fillId="0" borderId="0" xfId="40" applyFont="1" applyAlignment="1">
      <alignment horizontal="left" vertical="top"/>
      <protection locked="0"/>
    </xf>
    <xf numFmtId="0" fontId="137" fillId="0" borderId="0" xfId="40" applyFont="1" applyAlignment="1">
      <alignment horizontal="center" vertical="center" wrapText="1"/>
      <protection locked="0"/>
    </xf>
    <xf numFmtId="0" fontId="174" fillId="0" borderId="0" xfId="25" applyFont="1" applyAlignment="1" applyProtection="1">
      <alignment horizontal="left" vertical="center"/>
      <protection locked="0"/>
    </xf>
    <xf numFmtId="0" fontId="166" fillId="0" borderId="0" xfId="25" applyFont="1" applyAlignment="1" applyProtection="1">
      <alignment horizontal="left" vertical="top"/>
      <protection locked="0"/>
    </xf>
    <xf numFmtId="0" fontId="173" fillId="0" borderId="0" xfId="25" applyFont="1" applyAlignment="1" applyProtection="1">
      <alignment horizontal="left" vertical="top"/>
      <protection locked="0"/>
    </xf>
    <xf numFmtId="0" fontId="106" fillId="0" borderId="0" xfId="25" applyFont="1" applyAlignment="1" applyProtection="1">
      <alignment horizontal="left" vertical="center"/>
      <protection locked="0"/>
    </xf>
    <xf numFmtId="0" fontId="137" fillId="0" borderId="0" xfId="25" applyFont="1" applyAlignment="1" applyProtection="1">
      <alignment horizontal="center" vertical="center" wrapText="1"/>
      <protection locked="0"/>
    </xf>
    <xf numFmtId="0" fontId="10" fillId="0" borderId="0" xfId="25" applyFont="1" applyProtection="1">
      <protection locked="0"/>
    </xf>
    <xf numFmtId="0" fontId="34" fillId="0" borderId="0" xfId="25" applyFont="1" applyAlignment="1" applyProtection="1">
      <alignment horizontal="left" vertical="center"/>
      <protection locked="0"/>
    </xf>
    <xf numFmtId="0" fontId="62" fillId="0" borderId="0" xfId="25" applyFont="1" applyAlignment="1" applyProtection="1">
      <alignment horizontal="left" vertical="center"/>
      <protection locked="0"/>
    </xf>
    <xf numFmtId="37" fontId="56" fillId="0" borderId="0" xfId="25" applyNumberFormat="1" applyFont="1" applyAlignment="1" applyProtection="1">
      <alignment horizontal="right"/>
      <protection locked="0"/>
    </xf>
    <xf numFmtId="0" fontId="56" fillId="0" borderId="0" xfId="25" applyFont="1" applyAlignment="1" applyProtection="1">
      <alignment horizontal="left" wrapText="1"/>
      <protection locked="0"/>
    </xf>
    <xf numFmtId="0" fontId="59" fillId="0" borderId="0" xfId="25" applyFont="1" applyAlignment="1" applyProtection="1">
      <alignment horizontal="left" wrapText="1"/>
      <protection locked="0"/>
    </xf>
    <xf numFmtId="0" fontId="85" fillId="0" borderId="30" xfId="25" applyFont="1" applyBorder="1" applyAlignment="1" applyProtection="1">
      <alignment horizontal="center" vertical="center" wrapText="1"/>
      <protection locked="0"/>
    </xf>
    <xf numFmtId="0" fontId="10" fillId="0" borderId="30" xfId="25" applyFont="1" applyBorder="1" applyProtection="1">
      <protection locked="0"/>
    </xf>
    <xf numFmtId="0" fontId="56" fillId="0" borderId="0" xfId="25" applyFont="1" applyProtection="1">
      <protection locked="0"/>
    </xf>
    <xf numFmtId="4" fontId="62" fillId="0" borderId="0" xfId="25" applyNumberFormat="1" applyFont="1" applyAlignment="1" applyProtection="1">
      <alignment horizontal="right" vertical="center"/>
      <protection locked="0"/>
    </xf>
    <xf numFmtId="37" fontId="175" fillId="0" borderId="30" xfId="25" applyNumberFormat="1" applyFont="1" applyBorder="1" applyAlignment="1" applyProtection="1">
      <alignment horizontal="right"/>
      <protection locked="0"/>
    </xf>
    <xf numFmtId="0" fontId="175" fillId="0" borderId="30" xfId="25" applyFont="1" applyBorder="1" applyAlignment="1" applyProtection="1">
      <alignment horizontal="left" wrapText="1"/>
      <protection locked="0"/>
    </xf>
    <xf numFmtId="0" fontId="62" fillId="0" borderId="30" xfId="25" applyFont="1" applyBorder="1" applyAlignment="1" applyProtection="1">
      <alignment horizontal="left" vertical="top"/>
      <protection locked="0"/>
    </xf>
    <xf numFmtId="2" fontId="30" fillId="0" borderId="30" xfId="40" applyNumberFormat="1" applyFont="1" applyBorder="1" applyAlignment="1">
      <alignment horizontal="right"/>
      <protection locked="0"/>
    </xf>
    <xf numFmtId="0" fontId="95" fillId="0" borderId="0" xfId="25" applyFont="1" applyAlignment="1" applyProtection="1">
      <alignment horizontal="left" vertical="center" textRotation="90" wrapText="1"/>
      <protection locked="0"/>
    </xf>
    <xf numFmtId="0" fontId="68" fillId="0" borderId="30" xfId="25" applyFont="1" applyBorder="1" applyAlignment="1" applyProtection="1">
      <alignment horizontal="left" vertical="center" wrapText="1"/>
      <protection locked="0"/>
    </xf>
    <xf numFmtId="0" fontId="17" fillId="0" borderId="0" xfId="25" applyFont="1" applyAlignment="1" applyProtection="1">
      <alignment horizontal="left" vertical="center" wrapText="1"/>
      <protection locked="0"/>
    </xf>
    <xf numFmtId="167" fontId="137" fillId="0" borderId="0" xfId="25" applyNumberFormat="1" applyFont="1" applyAlignment="1" applyProtection="1">
      <alignment horizontal="center" vertical="center" wrapText="1"/>
      <protection locked="0"/>
    </xf>
    <xf numFmtId="49" fontId="74" fillId="0" borderId="30" xfId="25" applyNumberFormat="1" applyFont="1" applyBorder="1" applyAlignment="1" applyProtection="1">
      <alignment horizontal="right" wrapText="1"/>
      <protection locked="0"/>
    </xf>
    <xf numFmtId="167" fontId="74" fillId="0" borderId="30" xfId="25" applyNumberFormat="1" applyFont="1" applyBorder="1" applyAlignment="1" applyProtection="1">
      <alignment horizontal="right"/>
      <protection locked="0"/>
    </xf>
    <xf numFmtId="39" fontId="74" fillId="0" borderId="30" xfId="25" applyNumberFormat="1" applyFont="1" applyBorder="1" applyAlignment="1" applyProtection="1">
      <alignment horizontal="right"/>
      <protection locked="0"/>
    </xf>
    <xf numFmtId="39" fontId="74" fillId="0" borderId="30" xfId="25" applyNumberFormat="1" applyFont="1" applyBorder="1" applyAlignment="1" applyProtection="1">
      <alignment horizontal="center"/>
      <protection locked="0"/>
    </xf>
    <xf numFmtId="0" fontId="176" fillId="0" borderId="0" xfId="25" applyFont="1" applyAlignment="1" applyProtection="1">
      <alignment horizontal="left" vertical="top"/>
      <protection locked="0"/>
    </xf>
    <xf numFmtId="0" fontId="68" fillId="0" borderId="30" xfId="40" applyFont="1" applyBorder="1" applyAlignment="1">
      <alignment horizontal="left" vertical="center" wrapText="1"/>
      <protection locked="0"/>
    </xf>
    <xf numFmtId="49" fontId="68" fillId="0" borderId="30" xfId="40" applyNumberFormat="1" applyFont="1" applyBorder="1" applyAlignment="1">
      <alignment horizontal="left" wrapText="1"/>
      <protection locked="0"/>
    </xf>
    <xf numFmtId="0" fontId="68" fillId="0" borderId="30" xfId="40" applyFont="1" applyBorder="1" applyAlignment="1">
      <alignment horizontal="left" wrapText="1"/>
      <protection locked="0"/>
    </xf>
    <xf numFmtId="0" fontId="74" fillId="0" borderId="30" xfId="35" applyFont="1" applyBorder="1" applyAlignment="1">
      <alignment horizontal="left" vertical="center" wrapText="1"/>
      <protection locked="0"/>
    </xf>
    <xf numFmtId="0" fontId="177" fillId="0" borderId="30" xfId="40" applyFont="1" applyBorder="1" applyAlignment="1">
      <alignment horizontal="center" vertical="center" wrapText="1"/>
      <protection locked="0"/>
    </xf>
    <xf numFmtId="0" fontId="69" fillId="0" borderId="30" xfId="40" applyBorder="1" applyAlignment="1">
      <alignment horizontal="right" vertical="center"/>
      <protection locked="0"/>
    </xf>
    <xf numFmtId="0" fontId="70" fillId="0" borderId="0" xfId="40" applyFont="1" applyAlignment="1">
      <alignment horizontal="left" vertical="center"/>
      <protection locked="0"/>
    </xf>
    <xf numFmtId="0" fontId="94" fillId="0" borderId="0" xfId="40" applyFont="1" applyAlignment="1">
      <alignment vertical="center" wrapText="1"/>
      <protection locked="0"/>
    </xf>
    <xf numFmtId="39" fontId="56" fillId="0" borderId="30" xfId="24" applyNumberFormat="1" applyFont="1" applyBorder="1" applyAlignment="1" applyProtection="1">
      <alignment horizontal="center"/>
      <protection locked="0"/>
    </xf>
    <xf numFmtId="0" fontId="99" fillId="0" borderId="0" xfId="24" applyFont="1" applyAlignment="1" applyProtection="1">
      <alignment horizontal="center" vertical="center" wrapText="1"/>
      <protection locked="0"/>
    </xf>
    <xf numFmtId="0" fontId="94" fillId="0" borderId="0" xfId="24" applyFont="1" applyAlignment="1" applyProtection="1">
      <alignment vertical="top" wrapText="1"/>
      <protection locked="0"/>
    </xf>
    <xf numFmtId="0" fontId="30" fillId="0" borderId="0" xfId="24" applyFont="1" applyAlignment="1" applyProtection="1">
      <alignment horizontal="left" wrapText="1"/>
      <protection locked="0"/>
    </xf>
    <xf numFmtId="2" fontId="10" fillId="0" borderId="0" xfId="24" applyNumberFormat="1" applyFont="1" applyAlignment="1" applyProtection="1">
      <alignment horizontal="right"/>
      <protection locked="0"/>
    </xf>
    <xf numFmtId="0" fontId="95" fillId="0" borderId="0" xfId="24" applyFont="1" applyAlignment="1" applyProtection="1">
      <alignment horizontal="left" vertical="center" textRotation="90" wrapText="1"/>
      <protection locked="0"/>
    </xf>
    <xf numFmtId="37" fontId="56" fillId="0" borderId="30" xfId="24" applyNumberFormat="1" applyFont="1" applyBorder="1" applyAlignment="1" applyProtection="1">
      <alignment horizontal="right"/>
      <protection locked="0"/>
    </xf>
    <xf numFmtId="49" fontId="56" fillId="0" borderId="30" xfId="24" applyNumberFormat="1" applyFont="1" applyBorder="1" applyAlignment="1" applyProtection="1">
      <alignment horizontal="left" wrapText="1"/>
      <protection locked="0"/>
    </xf>
    <xf numFmtId="0" fontId="56" fillId="0" borderId="30" xfId="24" applyFont="1" applyBorder="1" applyAlignment="1" applyProtection="1">
      <alignment horizontal="left" wrapText="1"/>
      <protection locked="0"/>
    </xf>
    <xf numFmtId="0" fontId="56" fillId="0" borderId="30" xfId="24" applyFont="1" applyBorder="1" applyProtection="1">
      <protection locked="0"/>
    </xf>
    <xf numFmtId="171" fontId="56" fillId="0" borderId="30" xfId="24" applyNumberFormat="1" applyFont="1" applyBorder="1" applyAlignment="1" applyProtection="1">
      <alignment horizontal="right"/>
      <protection locked="0"/>
    </xf>
    <xf numFmtId="37" fontId="39" fillId="0" borderId="30" xfId="24" applyNumberFormat="1" applyFont="1" applyBorder="1" applyAlignment="1" applyProtection="1">
      <alignment horizontal="right"/>
      <protection locked="0"/>
    </xf>
    <xf numFmtId="0" fontId="59" fillId="0" borderId="30" xfId="24" applyFont="1" applyBorder="1" applyAlignment="1" applyProtection="1">
      <alignment horizontal="left" wrapText="1"/>
      <protection locked="0"/>
    </xf>
    <xf numFmtId="167" fontId="59" fillId="0" borderId="30" xfId="24" applyNumberFormat="1" applyFont="1" applyBorder="1" applyAlignment="1" applyProtection="1">
      <alignment horizontal="right"/>
      <protection locked="0"/>
    </xf>
    <xf numFmtId="0" fontId="10" fillId="0" borderId="30" xfId="25" applyFont="1" applyBorder="1" applyAlignment="1" applyProtection="1">
      <alignment wrapText="1"/>
      <protection locked="0"/>
    </xf>
    <xf numFmtId="4" fontId="61" fillId="0" borderId="0" xfId="25" applyNumberFormat="1" applyFont="1" applyAlignment="1" applyProtection="1">
      <alignment horizontal="left" vertical="center"/>
      <protection locked="0"/>
    </xf>
    <xf numFmtId="0" fontId="137" fillId="0" borderId="0" xfId="25" applyFont="1" applyAlignment="1" applyProtection="1">
      <alignment horizontal="center" vertical="center"/>
      <protection locked="0"/>
    </xf>
    <xf numFmtId="0" fontId="94" fillId="0" borderId="0" xfId="25" applyFont="1" applyAlignment="1" applyProtection="1">
      <alignment horizontal="left" vertical="top"/>
      <protection locked="0"/>
    </xf>
    <xf numFmtId="167" fontId="139" fillId="0" borderId="30" xfId="25" applyNumberFormat="1" applyFont="1" applyBorder="1" applyAlignment="1" applyProtection="1">
      <alignment horizontal="right"/>
      <protection locked="0"/>
    </xf>
    <xf numFmtId="37" fontId="10" fillId="0" borderId="41" xfId="24" applyNumberFormat="1" applyFont="1" applyBorder="1" applyAlignment="1" applyProtection="1">
      <alignment horizontal="right"/>
      <protection locked="0"/>
    </xf>
    <xf numFmtId="49" fontId="10" fillId="0" borderId="41" xfId="24" applyNumberFormat="1" applyFont="1" applyBorder="1" applyAlignment="1" applyProtection="1">
      <alignment horizontal="left" wrapText="1"/>
      <protection locked="0"/>
    </xf>
    <xf numFmtId="0" fontId="10" fillId="0" borderId="41" xfId="24" applyFont="1" applyBorder="1" applyAlignment="1" applyProtection="1">
      <alignment horizontal="left" wrapText="1"/>
      <protection locked="0"/>
    </xf>
    <xf numFmtId="0" fontId="10" fillId="0" borderId="0" xfId="24" applyFont="1" applyAlignment="1" applyProtection="1">
      <alignment wrapText="1"/>
      <protection locked="0"/>
    </xf>
    <xf numFmtId="171" fontId="10" fillId="0" borderId="41" xfId="24" applyNumberFormat="1" applyFont="1" applyBorder="1" applyAlignment="1" applyProtection="1">
      <alignment horizontal="right"/>
      <protection locked="0"/>
    </xf>
    <xf numFmtId="39" fontId="56" fillId="0" borderId="41" xfId="24" applyNumberFormat="1" applyFont="1" applyBorder="1" applyAlignment="1" applyProtection="1">
      <alignment horizontal="center"/>
      <protection locked="0"/>
    </xf>
    <xf numFmtId="0" fontId="62" fillId="0" borderId="0" xfId="24" applyFont="1" applyAlignment="1" applyProtection="1">
      <alignment horizontal="left" vertical="center"/>
      <protection locked="0"/>
    </xf>
    <xf numFmtId="37" fontId="56" fillId="0" borderId="0" xfId="24" applyNumberFormat="1" applyFont="1" applyAlignment="1" applyProtection="1">
      <alignment horizontal="right"/>
      <protection locked="0"/>
    </xf>
    <xf numFmtId="0" fontId="56" fillId="0" borderId="0" xfId="24" applyFont="1" applyAlignment="1" applyProtection="1">
      <alignment horizontal="left"/>
      <protection locked="0"/>
    </xf>
    <xf numFmtId="0" fontId="56" fillId="0" borderId="0" xfId="24" applyFont="1" applyAlignment="1" applyProtection="1">
      <alignment horizontal="left" wrapText="1"/>
      <protection locked="0"/>
    </xf>
    <xf numFmtId="0" fontId="59" fillId="0" borderId="0" xfId="24" applyFont="1" applyAlignment="1" applyProtection="1">
      <alignment horizontal="left" wrapText="1"/>
      <protection locked="0"/>
    </xf>
    <xf numFmtId="2" fontId="56" fillId="0" borderId="0" xfId="24" applyNumberFormat="1" applyFont="1" applyAlignment="1" applyProtection="1">
      <alignment horizontal="right"/>
      <protection locked="0"/>
    </xf>
    <xf numFmtId="39" fontId="56" fillId="0" borderId="0" xfId="24" applyNumberFormat="1" applyFont="1" applyAlignment="1" applyProtection="1">
      <alignment horizontal="right"/>
      <protection locked="0"/>
    </xf>
    <xf numFmtId="0" fontId="62" fillId="0" borderId="0" xfId="24" applyFont="1" applyAlignment="1" applyProtection="1">
      <alignment horizontal="right" vertical="center"/>
      <protection locked="0"/>
    </xf>
    <xf numFmtId="4" fontId="179" fillId="0" borderId="0" xfId="67" applyNumberFormat="1" applyFont="1" applyFill="1" applyAlignment="1">
      <alignment horizontal="left" vertical="center"/>
      <protection locked="0"/>
    </xf>
    <xf numFmtId="2" fontId="3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vertical="top"/>
      <protection locked="0"/>
    </xf>
    <xf numFmtId="37" fontId="39" fillId="0" borderId="30" xfId="40" applyNumberFormat="1" applyFont="1" applyBorder="1" applyAlignment="1">
      <alignment horizontal="right"/>
      <protection locked="0"/>
    </xf>
    <xf numFmtId="0" fontId="39" fillId="0" borderId="30" xfId="40" applyFont="1" applyBorder="1" applyAlignment="1">
      <alignment horizontal="left" wrapText="1"/>
      <protection locked="0"/>
    </xf>
    <xf numFmtId="0" fontId="69" fillId="0" borderId="30" xfId="40" applyBorder="1" applyAlignment="1">
      <alignment horizontal="left" vertical="top"/>
      <protection locked="0"/>
    </xf>
    <xf numFmtId="0" fontId="62" fillId="0" borderId="0" xfId="40" applyFont="1" applyAlignment="1">
      <alignment horizontal="left" vertical="center"/>
      <protection locked="0"/>
    </xf>
    <xf numFmtId="37" fontId="56" fillId="0" borderId="0" xfId="40" applyNumberFormat="1" applyFont="1" applyAlignment="1">
      <alignment horizontal="right"/>
      <protection locked="0"/>
    </xf>
    <xf numFmtId="0" fontId="56" fillId="0" borderId="0" xfId="40" applyFont="1" applyAlignment="1">
      <alignment horizontal="left" wrapText="1"/>
      <protection locked="0"/>
    </xf>
    <xf numFmtId="0" fontId="59" fillId="0" borderId="0" xfId="40" applyFont="1" applyAlignment="1">
      <alignment horizontal="left" wrapText="1"/>
      <protection locked="0"/>
    </xf>
    <xf numFmtId="2" fontId="56" fillId="0" borderId="0" xfId="40" applyNumberFormat="1" applyFont="1" applyAlignment="1">
      <alignment horizontal="right"/>
      <protection locked="0"/>
    </xf>
    <xf numFmtId="39" fontId="56" fillId="0" borderId="0" xfId="40" applyNumberFormat="1" applyFont="1" applyAlignment="1">
      <alignment horizontal="right"/>
      <protection locked="0"/>
    </xf>
    <xf numFmtId="0" fontId="62" fillId="0" borderId="0" xfId="40" applyFont="1" applyAlignment="1">
      <alignment horizontal="right" vertical="center"/>
      <protection locked="0"/>
    </xf>
    <xf numFmtId="0" fontId="13" fillId="0" borderId="0" xfId="40" applyFont="1" applyAlignment="1">
      <alignment horizontal="left" vertical="top"/>
      <protection locked="0"/>
    </xf>
    <xf numFmtId="2" fontId="10" fillId="0" borderId="30" xfId="25" applyNumberFormat="1" applyFont="1" applyBorder="1" applyAlignment="1" applyProtection="1">
      <alignment horizontal="right"/>
      <protection locked="0"/>
    </xf>
    <xf numFmtId="0" fontId="69" fillId="0" borderId="0" xfId="25" applyFont="1" applyAlignment="1" applyProtection="1">
      <alignment horizontal="right" vertical="center"/>
      <protection locked="0"/>
    </xf>
    <xf numFmtId="0" fontId="69" fillId="0" borderId="0" xfId="25" applyFont="1" applyAlignment="1" applyProtection="1">
      <alignment horizontal="left" vertical="top"/>
      <protection locked="0"/>
    </xf>
    <xf numFmtId="0" fontId="136" fillId="0" borderId="30" xfId="25" applyFont="1" applyBorder="1" applyAlignment="1" applyProtection="1">
      <alignment horizontal="center" vertical="center" wrapText="1"/>
      <protection locked="0"/>
    </xf>
    <xf numFmtId="0" fontId="69" fillId="0" borderId="0" xfId="25" applyFont="1" applyAlignment="1" applyProtection="1">
      <alignment horizontal="left" vertical="center"/>
      <protection locked="0"/>
    </xf>
    <xf numFmtId="175" fontId="18" fillId="0" borderId="0" xfId="25" applyNumberFormat="1" applyFont="1" applyAlignment="1" applyProtection="1">
      <alignment horizontal="left"/>
      <protection locked="0"/>
    </xf>
    <xf numFmtId="0" fontId="39" fillId="0" borderId="0" xfId="25" applyFont="1" applyAlignment="1" applyProtection="1">
      <alignment horizontal="left"/>
      <protection locked="0"/>
    </xf>
    <xf numFmtId="167" fontId="68" fillId="0" borderId="30" xfId="25" applyNumberFormat="1" applyFont="1" applyBorder="1" applyAlignment="1" applyProtection="1">
      <alignment horizontal="right" wrapText="1"/>
      <protection locked="0"/>
    </xf>
    <xf numFmtId="0" fontId="32" fillId="0" borderId="0" xfId="40" applyFont="1" applyAlignment="1">
      <alignment horizontal="left" vertical="center"/>
      <protection locked="0"/>
    </xf>
    <xf numFmtId="39" fontId="10" fillId="0" borderId="30" xfId="40" applyNumberFormat="1" applyFont="1" applyBorder="1" applyAlignment="1">
      <alignment vertical="center"/>
      <protection locked="0"/>
    </xf>
    <xf numFmtId="0" fontId="94" fillId="0" borderId="0" xfId="40" applyFont="1" applyAlignment="1">
      <alignment horizontal="left" vertical="center"/>
      <protection locked="0"/>
    </xf>
    <xf numFmtId="0" fontId="65" fillId="0" borderId="0" xfId="61" applyFill="1" applyBorder="1" applyAlignment="1" applyProtection="1">
      <alignment horizontal="left" vertical="center"/>
      <protection locked="0"/>
    </xf>
    <xf numFmtId="0" fontId="85" fillId="0" borderId="30" xfId="3" applyFont="1" applyBorder="1" applyAlignment="1" applyProtection="1">
      <alignment horizontal="center" wrapText="1"/>
      <protection locked="0"/>
    </xf>
    <xf numFmtId="167" fontId="10" fillId="0" borderId="30" xfId="40" applyNumberFormat="1" applyFont="1" applyBorder="1" applyAlignment="1">
      <alignment horizontal="left" wrapText="1"/>
      <protection locked="0"/>
    </xf>
    <xf numFmtId="39" fontId="10" fillId="0" borderId="30" xfId="40" applyNumberFormat="1" applyFont="1" applyBorder="1" applyAlignment="1">
      <alignment horizontal="right" vertical="center"/>
      <protection locked="0"/>
    </xf>
    <xf numFmtId="167" fontId="30" fillId="0" borderId="30" xfId="40" applyNumberFormat="1" applyFont="1" applyBorder="1" applyAlignment="1">
      <alignment horizontal="left" wrapText="1"/>
      <protection locked="0"/>
    </xf>
    <xf numFmtId="49" fontId="10" fillId="0" borderId="30" xfId="49" applyNumberFormat="1" applyFont="1" applyBorder="1" applyAlignment="1" applyProtection="1">
      <alignment horizontal="right" wrapText="1"/>
      <protection locked="0"/>
    </xf>
    <xf numFmtId="39" fontId="10" fillId="0" borderId="30" xfId="49" applyNumberFormat="1" applyFont="1" applyBorder="1" applyAlignment="1" applyProtection="1">
      <alignment horizontal="center"/>
      <protection locked="0"/>
    </xf>
    <xf numFmtId="0" fontId="180" fillId="0" borderId="0" xfId="49" applyFont="1" applyAlignment="1" applyProtection="1">
      <alignment vertical="top" wrapText="1"/>
      <protection locked="0"/>
    </xf>
    <xf numFmtId="0" fontId="180" fillId="0" borderId="0" xfId="49" applyFont="1" applyAlignment="1" applyProtection="1">
      <alignment vertical="top"/>
      <protection locked="0"/>
    </xf>
    <xf numFmtId="0" fontId="30" fillId="0" borderId="0" xfId="49" applyFont="1" applyAlignment="1" applyProtection="1">
      <alignment horizontal="left" wrapText="1"/>
      <protection locked="0"/>
    </xf>
    <xf numFmtId="0" fontId="10" fillId="0" borderId="0" xfId="49" applyFont="1" applyAlignment="1" applyProtection="1">
      <alignment horizontal="left" wrapText="1"/>
      <protection locked="0"/>
    </xf>
    <xf numFmtId="2" fontId="10" fillId="0" borderId="0" xfId="49" applyNumberFormat="1" applyFont="1" applyAlignment="1" applyProtection="1">
      <alignment horizontal="right"/>
      <protection locked="0"/>
    </xf>
    <xf numFmtId="39" fontId="10" fillId="0" borderId="0" xfId="49" applyNumberFormat="1" applyFont="1" applyAlignment="1" applyProtection="1">
      <alignment horizontal="right"/>
      <protection locked="0"/>
    </xf>
    <xf numFmtId="39" fontId="10" fillId="0" borderId="0" xfId="49" applyNumberFormat="1" applyFont="1" applyAlignment="1" applyProtection="1">
      <alignment horizontal="center"/>
      <protection locked="0"/>
    </xf>
    <xf numFmtId="0" fontId="95" fillId="0" borderId="0" xfId="49" applyFont="1" applyAlignment="1" applyProtection="1">
      <alignment horizontal="left" vertical="center" textRotation="90" wrapText="1"/>
      <protection locked="0"/>
    </xf>
    <xf numFmtId="37" fontId="68" fillId="0" borderId="30" xfId="49" applyNumberFormat="1" applyFont="1" applyBorder="1" applyAlignment="1" applyProtection="1">
      <alignment horizontal="right"/>
      <protection locked="0"/>
    </xf>
    <xf numFmtId="49" fontId="68" fillId="0" borderId="30" xfId="49" applyNumberFormat="1" applyFont="1" applyBorder="1" applyAlignment="1" applyProtection="1">
      <alignment horizontal="left" wrapText="1"/>
      <protection locked="0"/>
    </xf>
    <xf numFmtId="0" fontId="68" fillId="0" borderId="30" xfId="49" applyFont="1" applyBorder="1" applyAlignment="1" applyProtection="1">
      <alignment horizontal="left" wrapText="1"/>
      <protection locked="0"/>
    </xf>
    <xf numFmtId="4" fontId="10" fillId="0" borderId="30" xfId="49" applyNumberFormat="1" applyFont="1" applyBorder="1" applyAlignment="1" applyProtection="1">
      <alignment horizontal="right"/>
      <protection locked="0"/>
    </xf>
    <xf numFmtId="0" fontId="40" fillId="0" borderId="30" xfId="49" applyBorder="1" applyAlignment="1" applyProtection="1">
      <alignment horizontal="left" vertical="top"/>
      <protection locked="0"/>
    </xf>
    <xf numFmtId="4" fontId="30" fillId="5" borderId="30" xfId="49" applyNumberFormat="1" applyFont="1" applyFill="1" applyBorder="1" applyAlignment="1" applyProtection="1">
      <alignment horizontal="right"/>
      <protection locked="0"/>
    </xf>
    <xf numFmtId="39" fontId="74" fillId="0" borderId="30" xfId="49" applyNumberFormat="1" applyFont="1" applyBorder="1" applyAlignment="1" applyProtection="1">
      <alignment horizontal="center"/>
      <protection locked="0"/>
    </xf>
    <xf numFmtId="0" fontId="13" fillId="0" borderId="0" xfId="49" applyFont="1" applyAlignment="1" applyProtection="1">
      <alignment horizontal="left" vertical="center"/>
      <protection locked="0"/>
    </xf>
    <xf numFmtId="37" fontId="74" fillId="0" borderId="30" xfId="28" applyNumberFormat="1" applyFont="1" applyBorder="1" applyAlignment="1">
      <alignment horizontal="right"/>
      <protection locked="0"/>
    </xf>
    <xf numFmtId="2" fontId="10" fillId="0" borderId="30" xfId="40" applyNumberFormat="1" applyFont="1" applyBorder="1" applyAlignment="1">
      <alignment horizontal="right"/>
      <protection locked="0"/>
    </xf>
    <xf numFmtId="0" fontId="39" fillId="0" borderId="30" xfId="26" applyFont="1" applyBorder="1" applyAlignment="1" applyProtection="1">
      <alignment horizontal="left" wrapText="1"/>
      <protection locked="0"/>
    </xf>
    <xf numFmtId="39" fontId="10" fillId="0" borderId="30" xfId="26" applyNumberFormat="1" applyFont="1" applyBorder="1" applyAlignment="1" applyProtection="1">
      <alignment horizontal="right"/>
      <protection locked="0"/>
    </xf>
    <xf numFmtId="2" fontId="85" fillId="0" borderId="0" xfId="28" applyNumberFormat="1" applyFont="1" applyAlignment="1">
      <alignment horizontal="left" vertical="center"/>
      <protection locked="0"/>
    </xf>
    <xf numFmtId="0" fontId="111" fillId="0" borderId="0" xfId="26" applyFont="1" applyAlignment="1" applyProtection="1">
      <alignment horizontal="left" vertical="center"/>
      <protection locked="0"/>
    </xf>
    <xf numFmtId="37" fontId="74" fillId="0" borderId="30" xfId="68" applyNumberFormat="1" applyFont="1" applyBorder="1" applyAlignment="1">
      <alignment horizontal="right"/>
      <protection locked="0"/>
    </xf>
    <xf numFmtId="49" fontId="68" fillId="0" borderId="30" xfId="68" applyNumberFormat="1" applyFont="1" applyBorder="1" applyAlignment="1">
      <alignment horizontal="left" wrapText="1"/>
      <protection locked="0"/>
    </xf>
    <xf numFmtId="0" fontId="74" fillId="0" borderId="30" xfId="68" applyFont="1" applyBorder="1" applyAlignment="1">
      <alignment horizontal="left" wrapText="1"/>
      <protection locked="0"/>
    </xf>
    <xf numFmtId="167" fontId="30" fillId="0" borderId="30" xfId="68" applyNumberFormat="1" applyFont="1" applyBorder="1" applyAlignment="1">
      <alignment horizontal="right" wrapText="1"/>
      <protection locked="0"/>
    </xf>
    <xf numFmtId="4" fontId="30" fillId="5" borderId="30" xfId="68" applyNumberFormat="1" applyFont="1" applyFill="1" applyBorder="1" applyAlignment="1">
      <alignment horizontal="right"/>
      <protection locked="0"/>
    </xf>
    <xf numFmtId="0" fontId="86" fillId="0" borderId="0" xfId="68" applyFont="1" applyAlignment="1">
      <alignment horizontal="left" vertical="top"/>
      <protection locked="0"/>
    </xf>
    <xf numFmtId="0" fontId="30" fillId="0" borderId="30" xfId="68" applyFont="1" applyBorder="1" applyAlignment="1">
      <alignment horizontal="left" vertical="center" wrapText="1"/>
      <protection locked="0"/>
    </xf>
    <xf numFmtId="0" fontId="72" fillId="0" borderId="30" xfId="28" applyFont="1" applyBorder="1" applyAlignment="1">
      <alignment horizontal="right" vertical="center"/>
      <protection locked="0"/>
    </xf>
    <xf numFmtId="0" fontId="12" fillId="0" borderId="0" xfId="28" applyFont="1" applyAlignment="1">
      <alignment horizontal="left" vertical="top"/>
      <protection locked="0"/>
    </xf>
    <xf numFmtId="2" fontId="10" fillId="0" borderId="30" xfId="40" applyNumberFormat="1" applyFont="1" applyBorder="1" applyAlignment="1">
      <alignment horizontal="right" wrapText="1"/>
      <protection locked="0"/>
    </xf>
    <xf numFmtId="1" fontId="39" fillId="0" borderId="30" xfId="25" applyNumberFormat="1" applyFont="1" applyBorder="1" applyAlignment="1" applyProtection="1">
      <alignment horizontal="right"/>
      <protection locked="0"/>
    </xf>
    <xf numFmtId="169" fontId="39" fillId="0" borderId="30" xfId="25" applyNumberFormat="1" applyFont="1" applyBorder="1" applyAlignment="1" applyProtection="1">
      <alignment horizontal="right"/>
      <protection locked="0"/>
    </xf>
    <xf numFmtId="0" fontId="181" fillId="0" borderId="0" xfId="25" applyFont="1" applyAlignment="1" applyProtection="1">
      <alignment horizontal="left" vertical="top"/>
      <protection locked="0"/>
    </xf>
    <xf numFmtId="39" fontId="10" fillId="0" borderId="30" xfId="12" applyNumberFormat="1" applyFont="1" applyBorder="1" applyAlignment="1">
      <alignment horizontal="center"/>
      <protection locked="0"/>
    </xf>
    <xf numFmtId="0" fontId="18" fillId="0" borderId="0" xfId="45" applyFont="1" applyAlignment="1">
      <alignment horizontal="right"/>
      <protection locked="0"/>
    </xf>
    <xf numFmtId="0" fontId="12" fillId="0" borderId="30" xfId="25" applyFont="1" applyBorder="1" applyAlignment="1" applyProtection="1">
      <alignment horizontal="left" wrapText="1"/>
      <protection locked="0"/>
    </xf>
    <xf numFmtId="37" fontId="39" fillId="0" borderId="30" xfId="64" applyNumberFormat="1" applyFont="1" applyBorder="1" applyAlignment="1" applyProtection="1">
      <alignment horizontal="right"/>
      <protection locked="0"/>
    </xf>
    <xf numFmtId="0" fontId="39" fillId="0" borderId="30" xfId="64" applyFont="1" applyBorder="1" applyAlignment="1" applyProtection="1">
      <alignment horizontal="left" wrapText="1"/>
      <protection locked="0"/>
    </xf>
    <xf numFmtId="167" fontId="39" fillId="0" borderId="30" xfId="64" applyNumberFormat="1" applyFont="1" applyBorder="1" applyAlignment="1" applyProtection="1">
      <alignment horizontal="right"/>
      <protection locked="0"/>
    </xf>
    <xf numFmtId="39" fontId="39" fillId="0" borderId="30" xfId="64" applyNumberFormat="1" applyFont="1" applyBorder="1" applyAlignment="1" applyProtection="1">
      <alignment horizontal="right"/>
      <protection locked="0"/>
    </xf>
    <xf numFmtId="0" fontId="12" fillId="0" borderId="30" xfId="64" applyBorder="1" applyAlignment="1" applyProtection="1">
      <alignment horizontal="left" vertical="top"/>
      <protection locked="0"/>
    </xf>
    <xf numFmtId="0" fontId="12" fillId="0" borderId="0" xfId="64" applyAlignment="1" applyProtection="1">
      <alignment horizontal="left" vertical="top"/>
      <protection locked="0"/>
    </xf>
    <xf numFmtId="0" fontId="111" fillId="0" borderId="0" xfId="64" applyFont="1" applyAlignment="1" applyProtection="1">
      <alignment horizontal="left" vertical="top"/>
      <protection locked="0"/>
    </xf>
    <xf numFmtId="37" fontId="10" fillId="0" borderId="30" xfId="12" applyNumberFormat="1" applyFont="1" applyBorder="1" applyAlignment="1">
      <alignment horizontal="right"/>
      <protection locked="0"/>
    </xf>
    <xf numFmtId="0" fontId="10" fillId="0" borderId="30" xfId="12" applyFont="1" applyBorder="1" applyAlignment="1">
      <alignment horizontal="left" wrapText="1"/>
      <protection locked="0"/>
    </xf>
    <xf numFmtId="4" fontId="10" fillId="0" borderId="30" xfId="12" applyNumberFormat="1" applyFont="1" applyBorder="1" applyAlignment="1">
      <alignment horizontal="right"/>
      <protection locked="0"/>
    </xf>
    <xf numFmtId="0" fontId="34" fillId="0" borderId="0" xfId="40" applyFont="1" applyAlignment="1">
      <alignment horizontal="left" vertical="top"/>
      <protection locked="0"/>
    </xf>
    <xf numFmtId="0" fontId="13" fillId="0" borderId="0" xfId="12" applyAlignment="1">
      <alignment horizontal="left" vertical="top"/>
      <protection locked="0"/>
    </xf>
    <xf numFmtId="0" fontId="182" fillId="0" borderId="0" xfId="40" applyFont="1" applyAlignment="1">
      <alignment horizontal="left" vertical="center" wrapText="1"/>
      <protection locked="0"/>
    </xf>
    <xf numFmtId="0" fontId="45" fillId="0" borderId="0" xfId="3" applyFont="1" applyAlignment="1">
      <alignment horizontal="left" vertical="center"/>
    </xf>
    <xf numFmtId="37" fontId="88" fillId="0" borderId="0" xfId="65" applyNumberFormat="1" applyFont="1" applyAlignment="1">
      <alignment horizontal="right"/>
    </xf>
    <xf numFmtId="0" fontId="88" fillId="0" borderId="0" xfId="65" applyFont="1" applyAlignment="1">
      <alignment horizontal="left" wrapText="1"/>
    </xf>
    <xf numFmtId="167" fontId="88" fillId="0" borderId="0" xfId="65" applyNumberFormat="1" applyFont="1" applyAlignment="1">
      <alignment horizontal="right"/>
    </xf>
    <xf numFmtId="39" fontId="88" fillId="0" borderId="0" xfId="65" applyNumberFormat="1" applyFont="1" applyAlignment="1">
      <alignment horizontal="right"/>
    </xf>
    <xf numFmtId="37" fontId="10" fillId="0" borderId="21" xfId="65" applyNumberFormat="1" applyFont="1" applyBorder="1" applyAlignment="1">
      <alignment horizontal="right"/>
    </xf>
    <xf numFmtId="0" fontId="10" fillId="0" borderId="21" xfId="65" applyFont="1" applyBorder="1" applyAlignment="1">
      <alignment horizontal="left" wrapText="1"/>
    </xf>
    <xf numFmtId="0" fontId="10" fillId="0" borderId="21" xfId="65" applyFont="1" applyBorder="1" applyAlignment="1">
      <alignment horizontal="center" wrapText="1"/>
    </xf>
    <xf numFmtId="167" fontId="10" fillId="0" borderId="21" xfId="65" applyNumberFormat="1" applyFont="1" applyBorder="1" applyAlignment="1">
      <alignment horizontal="right"/>
    </xf>
    <xf numFmtId="39" fontId="10" fillId="0" borderId="21" xfId="65" applyNumberFormat="1" applyFont="1" applyBorder="1" applyAlignment="1">
      <alignment horizontal="right"/>
    </xf>
    <xf numFmtId="0" fontId="89" fillId="0" borderId="0" xfId="65" applyFont="1" applyAlignment="1">
      <alignment horizontal="left" vertical="top"/>
    </xf>
    <xf numFmtId="0" fontId="39" fillId="0" borderId="32" xfId="64" applyFont="1" applyBorder="1" applyAlignment="1" applyProtection="1">
      <alignment horizontal="left"/>
      <protection locked="0"/>
    </xf>
    <xf numFmtId="0" fontId="68" fillId="0" borderId="33" xfId="65" applyFont="1" applyBorder="1" applyAlignment="1">
      <alignment horizontal="center"/>
    </xf>
    <xf numFmtId="167" fontId="68" fillId="0" borderId="33" xfId="65" applyNumberFormat="1" applyFont="1" applyBorder="1" applyAlignment="1">
      <alignment horizontal="right"/>
    </xf>
    <xf numFmtId="39" fontId="10" fillId="0" borderId="33" xfId="65" applyNumberFormat="1" applyFont="1" applyBorder="1" applyAlignment="1">
      <alignment horizontal="right"/>
    </xf>
    <xf numFmtId="39" fontId="50" fillId="0" borderId="0" xfId="65" applyNumberFormat="1" applyFont="1" applyAlignment="1">
      <alignment horizontal="center"/>
    </xf>
    <xf numFmtId="37" fontId="68" fillId="0" borderId="0" xfId="65" applyNumberFormat="1" applyFont="1" applyAlignment="1">
      <alignment horizontal="right"/>
    </xf>
    <xf numFmtId="0" fontId="68" fillId="0" borderId="0" xfId="65" applyFont="1" applyAlignment="1">
      <alignment horizontal="left" wrapText="1"/>
    </xf>
    <xf numFmtId="0" fontId="10" fillId="0" borderId="0" xfId="65" applyFont="1" applyAlignment="1">
      <alignment horizontal="left" wrapText="1"/>
    </xf>
    <xf numFmtId="0" fontId="68" fillId="0" borderId="0" xfId="65" applyFont="1" applyAlignment="1">
      <alignment horizontal="center" wrapText="1"/>
    </xf>
    <xf numFmtId="167" fontId="68" fillId="0" borderId="0" xfId="65" applyNumberFormat="1" applyFont="1" applyAlignment="1">
      <alignment horizontal="right"/>
    </xf>
    <xf numFmtId="39" fontId="68" fillId="0" borderId="0" xfId="65" applyNumberFormat="1" applyFont="1" applyAlignment="1">
      <alignment horizontal="right"/>
    </xf>
    <xf numFmtId="39" fontId="10" fillId="0" borderId="0" xfId="65" applyNumberFormat="1" applyFont="1" applyAlignment="1">
      <alignment horizontal="right"/>
    </xf>
    <xf numFmtId="167" fontId="11" fillId="0" borderId="0" xfId="16" applyNumberFormat="1" applyFont="1" applyAlignment="1">
      <alignment vertical="center"/>
    </xf>
    <xf numFmtId="0" fontId="69" fillId="0" borderId="0" xfId="40" applyAlignment="1" applyProtection="1"/>
    <xf numFmtId="0" fontId="69" fillId="0" borderId="0" xfId="40" applyAlignment="1" applyProtection="1">
      <alignment horizontal="left" vertical="top"/>
    </xf>
    <xf numFmtId="167" fontId="9" fillId="0" borderId="0" xfId="65" applyNumberFormat="1"/>
    <xf numFmtId="2" fontId="39" fillId="0" borderId="37" xfId="65" applyNumberFormat="1" applyFont="1" applyBorder="1" applyAlignment="1" applyProtection="1">
      <alignment horizontal="right"/>
      <protection locked="0"/>
    </xf>
    <xf numFmtId="2" fontId="39" fillId="0" borderId="30" xfId="25" applyNumberFormat="1" applyFont="1" applyBorder="1" applyAlignment="1" applyProtection="1">
      <alignment horizontal="right"/>
      <protection locked="0"/>
    </xf>
    <xf numFmtId="37" fontId="10" fillId="0" borderId="30" xfId="64" applyNumberFormat="1" applyFont="1" applyBorder="1" applyAlignment="1" applyProtection="1">
      <alignment horizontal="right"/>
      <protection locked="0"/>
    </xf>
    <xf numFmtId="0" fontId="10" fillId="0" borderId="30" xfId="64" applyFont="1" applyBorder="1" applyAlignment="1" applyProtection="1">
      <alignment horizontal="left" wrapText="1"/>
      <protection locked="0"/>
    </xf>
    <xf numFmtId="39" fontId="10" fillId="0" borderId="30" xfId="64" applyNumberFormat="1" applyFont="1" applyBorder="1" applyAlignment="1" applyProtection="1">
      <alignment horizontal="right"/>
      <protection locked="0"/>
    </xf>
    <xf numFmtId="0" fontId="111" fillId="0" borderId="0" xfId="64" applyFont="1" applyAlignment="1" applyProtection="1">
      <alignment vertical="top"/>
      <protection locked="0"/>
    </xf>
    <xf numFmtId="37" fontId="10" fillId="0" borderId="30" xfId="47" applyNumberFormat="1" applyFont="1" applyBorder="1" applyAlignment="1">
      <alignment horizontal="right"/>
      <protection locked="0"/>
    </xf>
    <xf numFmtId="49" fontId="10" fillId="0" borderId="30" xfId="64" applyNumberFormat="1" applyFont="1" applyBorder="1" applyAlignment="1" applyProtection="1">
      <alignment horizontal="left" wrapText="1"/>
      <protection locked="0"/>
    </xf>
    <xf numFmtId="0" fontId="184" fillId="0" borderId="0" xfId="47" applyFont="1" applyAlignment="1">
      <alignment horizontal="left" vertical="top"/>
      <protection locked="0"/>
    </xf>
    <xf numFmtId="0" fontId="30" fillId="0" borderId="30" xfId="25" applyFont="1" applyBorder="1" applyAlignment="1" applyProtection="1">
      <alignment horizontal="left" vertical="center" wrapText="1"/>
      <protection locked="0"/>
    </xf>
    <xf numFmtId="0" fontId="92" fillId="0" borderId="0" xfId="33" applyFont="1" applyFill="1" applyAlignment="1" applyProtection="1">
      <alignment horizontal="left" vertical="center"/>
      <protection locked="0"/>
    </xf>
    <xf numFmtId="0" fontId="92" fillId="0" borderId="0" xfId="33" applyFont="1" applyFill="1" applyAlignment="1" applyProtection="1">
      <alignment horizontal="left" vertical="top"/>
      <protection locked="0"/>
    </xf>
    <xf numFmtId="0" fontId="12" fillId="0" borderId="0" xfId="33" applyFont="1" applyFill="1" applyAlignment="1" applyProtection="1">
      <alignment horizontal="right" vertical="top"/>
      <protection locked="0"/>
    </xf>
    <xf numFmtId="170" fontId="88" fillId="0" borderId="0" xfId="65" applyNumberFormat="1" applyFont="1" applyAlignment="1">
      <alignment horizontal="right"/>
    </xf>
    <xf numFmtId="170" fontId="10" fillId="0" borderId="21" xfId="65" applyNumberFormat="1" applyFont="1" applyBorder="1" applyAlignment="1">
      <alignment horizontal="right"/>
    </xf>
    <xf numFmtId="170" fontId="68" fillId="0" borderId="33" xfId="65" applyNumberFormat="1" applyFont="1" applyBorder="1" applyAlignment="1">
      <alignment horizontal="right"/>
    </xf>
    <xf numFmtId="170" fontId="68" fillId="0" borderId="0" xfId="65" applyNumberFormat="1" applyFont="1" applyAlignment="1">
      <alignment horizontal="right"/>
    </xf>
    <xf numFmtId="3" fontId="47" fillId="0" borderId="31" xfId="65" applyNumberFormat="1" applyFont="1" applyBorder="1" applyAlignment="1">
      <alignment horizontal="center" vertical="center" wrapText="1"/>
    </xf>
    <xf numFmtId="39" fontId="39" fillId="0" borderId="30" xfId="45" applyNumberFormat="1" applyFont="1" applyBorder="1" applyAlignment="1">
      <alignment horizontal="right"/>
      <protection locked="0"/>
    </xf>
    <xf numFmtId="0" fontId="54" fillId="0" borderId="0" xfId="45" applyFont="1" applyAlignment="1" applyProtection="1"/>
    <xf numFmtId="1" fontId="10" fillId="0" borderId="30" xfId="25" applyNumberFormat="1" applyFont="1" applyBorder="1" applyAlignment="1" applyProtection="1">
      <alignment horizontal="right"/>
      <protection locked="0"/>
    </xf>
    <xf numFmtId="0" fontId="41" fillId="0" borderId="0" xfId="25" applyFont="1" applyAlignment="1" applyProtection="1">
      <alignment horizontal="left" vertical="center"/>
      <protection locked="0"/>
    </xf>
    <xf numFmtId="4" fontId="188" fillId="0" borderId="30" xfId="25" applyNumberFormat="1" applyFont="1" applyBorder="1" applyAlignment="1" applyProtection="1">
      <alignment horizontal="right"/>
      <protection locked="0"/>
    </xf>
    <xf numFmtId="39" fontId="10" fillId="0" borderId="0" xfId="25" applyNumberFormat="1" applyFont="1" applyAlignment="1" applyProtection="1">
      <alignment horizontal="left"/>
      <protection locked="0"/>
    </xf>
    <xf numFmtId="1" fontId="56" fillId="0" borderId="30" xfId="25" applyNumberFormat="1" applyFont="1" applyBorder="1" applyAlignment="1" applyProtection="1">
      <alignment horizontal="right"/>
      <protection locked="0"/>
    </xf>
    <xf numFmtId="4" fontId="56" fillId="0" borderId="30" xfId="25" applyNumberFormat="1" applyFont="1" applyBorder="1" applyAlignment="1" applyProtection="1">
      <alignment horizontal="right"/>
      <protection locked="0"/>
    </xf>
    <xf numFmtId="0" fontId="189" fillId="0" borderId="0" xfId="25" applyFont="1" applyAlignment="1" applyProtection="1">
      <alignment horizontal="left" vertical="center"/>
      <protection locked="0"/>
    </xf>
    <xf numFmtId="0" fontId="190" fillId="0" borderId="0" xfId="25" applyFont="1" applyAlignment="1" applyProtection="1">
      <alignment horizontal="left" vertical="top"/>
      <protection locked="0"/>
    </xf>
    <xf numFmtId="0" fontId="57" fillId="0" borderId="0" xfId="25" applyFont="1" applyAlignment="1" applyProtection="1">
      <alignment horizontal="left" vertical="top"/>
      <protection locked="0"/>
    </xf>
    <xf numFmtId="49" fontId="56" fillId="0" borderId="30" xfId="25" applyNumberFormat="1" applyFont="1" applyBorder="1" applyAlignment="1" applyProtection="1">
      <alignment horizontal="right" wrapText="1"/>
      <protection locked="0"/>
    </xf>
    <xf numFmtId="4" fontId="191" fillId="0" borderId="30" xfId="25" applyNumberFormat="1" applyFont="1" applyBorder="1" applyAlignment="1" applyProtection="1">
      <alignment horizontal="right"/>
      <protection locked="0"/>
    </xf>
    <xf numFmtId="37" fontId="56" fillId="0" borderId="30" xfId="44" applyNumberFormat="1" applyFont="1" applyBorder="1" applyAlignment="1">
      <alignment horizontal="right"/>
      <protection locked="0"/>
    </xf>
    <xf numFmtId="0" fontId="56" fillId="0" borderId="30" xfId="44" applyFont="1" applyBorder="1" applyAlignment="1">
      <alignment horizontal="left" wrapText="1"/>
      <protection locked="0"/>
    </xf>
    <xf numFmtId="0" fontId="59" fillId="0" borderId="30" xfId="44" applyFont="1" applyBorder="1" applyAlignment="1">
      <alignment horizontal="left" wrapText="1"/>
      <protection locked="0"/>
    </xf>
    <xf numFmtId="39" fontId="59" fillId="0" borderId="30" xfId="44" applyNumberFormat="1" applyFont="1" applyBorder="1" applyAlignment="1">
      <alignment horizontal="right"/>
      <protection locked="0"/>
    </xf>
    <xf numFmtId="39" fontId="56" fillId="0" borderId="30" xfId="44" applyNumberFormat="1" applyFont="1" applyBorder="1" applyAlignment="1">
      <alignment horizontal="center"/>
      <protection locked="0"/>
    </xf>
    <xf numFmtId="0" fontId="192" fillId="0" borderId="0" xfId="40" applyFont="1" applyAlignment="1">
      <alignment horizontal="left" vertical="center"/>
      <protection locked="0"/>
    </xf>
    <xf numFmtId="0" fontId="193" fillId="0" borderId="0" xfId="26" applyFont="1" applyAlignment="1" applyProtection="1">
      <alignment horizontal="left" vertical="center"/>
      <protection locked="0"/>
    </xf>
    <xf numFmtId="0" fontId="62" fillId="0" borderId="0" xfId="40" applyFont="1" applyAlignment="1">
      <alignment horizontal="left" vertical="top"/>
      <protection locked="0"/>
    </xf>
    <xf numFmtId="0" fontId="194" fillId="0" borderId="0" xfId="45" applyFont="1" applyAlignment="1">
      <alignment horizontal="left" vertical="top"/>
      <protection locked="0"/>
    </xf>
    <xf numFmtId="37" fontId="10" fillId="0" borderId="30" xfId="69" applyNumberFormat="1" applyFont="1" applyBorder="1" applyAlignment="1" applyProtection="1">
      <alignment horizontal="right"/>
      <protection locked="0"/>
    </xf>
    <xf numFmtId="49" fontId="10" fillId="0" borderId="30" xfId="69" applyNumberFormat="1" applyFont="1" applyBorder="1" applyAlignment="1" applyProtection="1">
      <alignment horizontal="left" wrapText="1"/>
      <protection locked="0"/>
    </xf>
    <xf numFmtId="0" fontId="39" fillId="0" borderId="30" xfId="69" applyFont="1" applyBorder="1" applyAlignment="1" applyProtection="1">
      <alignment horizontal="left" wrapText="1"/>
      <protection locked="0"/>
    </xf>
    <xf numFmtId="4" fontId="10" fillId="0" borderId="30" xfId="69" applyNumberFormat="1" applyFont="1" applyBorder="1" applyAlignment="1" applyProtection="1">
      <alignment horizontal="right"/>
      <protection locked="0"/>
    </xf>
    <xf numFmtId="39" fontId="10" fillId="0" borderId="30" xfId="69" applyNumberFormat="1" applyFont="1" applyBorder="1" applyAlignment="1" applyProtection="1">
      <alignment horizontal="center"/>
      <protection locked="0"/>
    </xf>
    <xf numFmtId="0" fontId="12" fillId="0" borderId="0" xfId="69"/>
    <xf numFmtId="0" fontId="12" fillId="0" borderId="0" xfId="69" applyAlignment="1" applyProtection="1">
      <alignment horizontal="left" vertical="top"/>
      <protection locked="0"/>
    </xf>
    <xf numFmtId="37" fontId="68" fillId="0" borderId="30" xfId="25" applyNumberFormat="1" applyFont="1" applyBorder="1" applyAlignment="1" applyProtection="1">
      <alignment horizontal="right"/>
      <protection locked="0"/>
    </xf>
    <xf numFmtId="1" fontId="74" fillId="0" borderId="30" xfId="25" applyNumberFormat="1" applyFont="1" applyBorder="1" applyAlignment="1" applyProtection="1">
      <alignment horizontal="right"/>
      <protection locked="0"/>
    </xf>
    <xf numFmtId="37" fontId="30" fillId="0" borderId="30" xfId="25" applyNumberFormat="1" applyFont="1" applyBorder="1" applyAlignment="1" applyProtection="1">
      <alignment horizontal="right"/>
      <protection locked="0"/>
    </xf>
    <xf numFmtId="167" fontId="10" fillId="0" borderId="30" xfId="25" applyNumberFormat="1" applyFont="1" applyBorder="1" applyAlignment="1" applyProtection="1">
      <alignment horizontal="left" wrapText="1"/>
      <protection locked="0"/>
    </xf>
    <xf numFmtId="4" fontId="10" fillId="7" borderId="30" xfId="25" applyNumberFormat="1" applyFont="1" applyFill="1" applyBorder="1" applyAlignment="1" applyProtection="1">
      <alignment horizontal="right"/>
      <protection locked="0"/>
    </xf>
    <xf numFmtId="0" fontId="84" fillId="0" borderId="0" xfId="45" applyFont="1" applyAlignment="1">
      <alignment horizontal="left" vertical="top"/>
      <protection locked="0"/>
    </xf>
    <xf numFmtId="0" fontId="82" fillId="0" borderId="0" xfId="45" applyFont="1" applyAlignment="1">
      <alignment horizontal="left" vertical="top"/>
      <protection locked="0"/>
    </xf>
    <xf numFmtId="0" fontId="82" fillId="0" borderId="0" xfId="45" applyFont="1" applyAlignment="1" applyProtection="1"/>
    <xf numFmtId="0" fontId="111" fillId="0" borderId="0" xfId="45" applyFont="1" applyAlignment="1">
      <alignment horizontal="left" vertical="top"/>
      <protection locked="0"/>
    </xf>
    <xf numFmtId="0" fontId="111" fillId="0" borderId="0" xfId="45" applyFont="1" applyAlignment="1" applyProtection="1"/>
    <xf numFmtId="0" fontId="12" fillId="0" borderId="0" xfId="45" applyFont="1" applyAlignment="1">
      <alignment horizontal="left" vertical="center"/>
      <protection locked="0"/>
    </xf>
    <xf numFmtId="0" fontId="12" fillId="0" borderId="0" xfId="45" applyFont="1" applyAlignment="1">
      <alignment horizontal="left" vertical="top"/>
      <protection locked="0"/>
    </xf>
    <xf numFmtId="0" fontId="12" fillId="0" borderId="0" xfId="45" applyFont="1" applyAlignment="1" applyProtection="1"/>
    <xf numFmtId="0" fontId="12" fillId="0" borderId="0" xfId="45" applyFont="1" applyAlignment="1" applyProtection="1">
      <alignment vertical="center"/>
    </xf>
    <xf numFmtId="0" fontId="33" fillId="0" borderId="0" xfId="45" applyAlignment="1" applyProtection="1">
      <alignment vertical="center"/>
    </xf>
    <xf numFmtId="0" fontId="69" fillId="0" borderId="0" xfId="45" applyFont="1" applyAlignment="1" applyProtection="1">
      <alignment vertical="center"/>
    </xf>
    <xf numFmtId="1" fontId="74" fillId="0" borderId="30" xfId="49" applyNumberFormat="1" applyFont="1" applyBorder="1" applyAlignment="1" applyProtection="1">
      <alignment horizontal="right"/>
      <protection locked="0"/>
    </xf>
    <xf numFmtId="0" fontId="74" fillId="0" borderId="30" xfId="49" applyFont="1" applyBorder="1" applyAlignment="1" applyProtection="1">
      <alignment horizontal="left" wrapText="1"/>
      <protection locked="0"/>
    </xf>
    <xf numFmtId="37" fontId="74" fillId="0" borderId="30" xfId="59" applyNumberFormat="1" applyFont="1" applyBorder="1" applyAlignment="1" applyProtection="1">
      <alignment horizontal="right"/>
      <protection locked="0"/>
    </xf>
    <xf numFmtId="49" fontId="68" fillId="0" borderId="30" xfId="59" applyNumberFormat="1" applyFont="1" applyBorder="1" applyAlignment="1" applyProtection="1">
      <alignment horizontal="left" wrapText="1"/>
      <protection locked="0"/>
    </xf>
    <xf numFmtId="0" fontId="74" fillId="0" borderId="30" xfId="59" applyFont="1" applyBorder="1" applyAlignment="1" applyProtection="1">
      <alignment horizontal="left" wrapText="1"/>
      <protection locked="0"/>
    </xf>
    <xf numFmtId="167" fontId="30" fillId="0" borderId="30" xfId="59" applyNumberFormat="1" applyFont="1" applyBorder="1" applyAlignment="1" applyProtection="1">
      <alignment horizontal="right" wrapText="1"/>
      <protection locked="0"/>
    </xf>
    <xf numFmtId="0" fontId="86" fillId="0" borderId="0" xfId="59" applyFont="1" applyAlignment="1" applyProtection="1">
      <alignment horizontal="left" vertical="top"/>
      <protection locked="0"/>
    </xf>
    <xf numFmtId="0" fontId="72" fillId="0" borderId="30" xfId="45" applyFont="1" applyBorder="1" applyAlignment="1">
      <alignment horizontal="right" vertical="center"/>
      <protection locked="0"/>
    </xf>
    <xf numFmtId="2" fontId="72" fillId="0" borderId="0" xfId="45" applyNumberFormat="1" applyFont="1" applyAlignment="1">
      <alignment vertical="center"/>
      <protection locked="0"/>
    </xf>
    <xf numFmtId="167" fontId="10" fillId="0" borderId="30" xfId="25" applyNumberFormat="1" applyFont="1" applyBorder="1" applyProtection="1">
      <protection locked="0"/>
    </xf>
    <xf numFmtId="0" fontId="195" fillId="0" borderId="0" xfId="25" applyFont="1" applyAlignment="1" applyProtection="1">
      <alignment vertical="center"/>
      <protection locked="0"/>
    </xf>
    <xf numFmtId="0" fontId="180" fillId="0" borderId="0" xfId="25" applyFont="1" applyAlignment="1" applyProtection="1">
      <alignment vertical="top"/>
      <protection locked="0"/>
    </xf>
    <xf numFmtId="0" fontId="180" fillId="0" borderId="0" xfId="25" applyFont="1" applyAlignment="1" applyProtection="1">
      <alignment vertical="top" wrapText="1"/>
      <protection locked="0"/>
    </xf>
    <xf numFmtId="0" fontId="18" fillId="0" borderId="0" xfId="45" applyFont="1" applyAlignment="1">
      <alignment horizontal="right" vertical="center"/>
      <protection locked="0"/>
    </xf>
    <xf numFmtId="0" fontId="196" fillId="0" borderId="0" xfId="47" applyFont="1" applyAlignment="1">
      <alignment horizontal="left" vertical="center"/>
      <protection locked="0"/>
    </xf>
    <xf numFmtId="7" fontId="146" fillId="0" borderId="30" xfId="25" applyNumberFormat="1" applyFont="1" applyBorder="1" applyAlignment="1" applyProtection="1">
      <alignment horizontal="right"/>
      <protection locked="0"/>
    </xf>
    <xf numFmtId="4" fontId="9" fillId="0" borderId="0" xfId="25" applyNumberFormat="1" applyAlignment="1" applyProtection="1">
      <alignment horizontal="left" vertical="top"/>
      <protection locked="0"/>
    </xf>
    <xf numFmtId="167" fontId="10" fillId="0" borderId="30" xfId="64" applyNumberFormat="1" applyFont="1" applyBorder="1" applyAlignment="1" applyProtection="1">
      <alignment horizontal="right"/>
      <protection locked="0"/>
    </xf>
    <xf numFmtId="2" fontId="64" fillId="0" borderId="0" xfId="45" applyNumberFormat="1" applyFont="1" applyAlignment="1">
      <alignment horizontal="left" vertical="center"/>
      <protection locked="0"/>
    </xf>
    <xf numFmtId="0" fontId="105" fillId="0" borderId="0" xfId="25" applyFont="1" applyAlignment="1" applyProtection="1">
      <alignment horizontal="left" vertical="center"/>
      <protection locked="0"/>
    </xf>
    <xf numFmtId="0" fontId="13" fillId="0" borderId="15" xfId="47" applyBorder="1" applyAlignment="1">
      <alignment horizontal="right" vertical="top"/>
      <protection locked="0"/>
    </xf>
    <xf numFmtId="0" fontId="18" fillId="0" borderId="0" xfId="45" applyFont="1" applyAlignment="1">
      <alignment horizontal="right" vertical="top"/>
      <protection locked="0"/>
    </xf>
    <xf numFmtId="0" fontId="12" fillId="0" borderId="30" xfId="25" applyFont="1" applyBorder="1" applyAlignment="1" applyProtection="1">
      <alignment horizontal="left" vertical="top" wrapText="1"/>
      <protection locked="0"/>
    </xf>
    <xf numFmtId="0" fontId="18" fillId="0" borderId="0" xfId="45" applyFont="1" applyAlignment="1">
      <alignment horizontal="left" vertical="center"/>
      <protection locked="0"/>
    </xf>
    <xf numFmtId="171" fontId="12" fillId="0" borderId="0" xfId="64" applyNumberFormat="1" applyAlignment="1" applyProtection="1">
      <alignment horizontal="left" vertical="top"/>
      <protection locked="0"/>
    </xf>
    <xf numFmtId="0" fontId="12" fillId="0" borderId="0" xfId="64" applyAlignment="1" applyProtection="1">
      <alignment vertical="top"/>
      <protection locked="0"/>
    </xf>
    <xf numFmtId="0" fontId="18" fillId="0" borderId="0" xfId="64" applyFont="1" applyAlignment="1" applyProtection="1">
      <alignment vertical="top"/>
      <protection locked="0"/>
    </xf>
    <xf numFmtId="37" fontId="10" fillId="0" borderId="30" xfId="60" applyNumberFormat="1" applyFont="1" applyBorder="1" applyAlignment="1">
      <alignment horizontal="right"/>
      <protection locked="0"/>
    </xf>
    <xf numFmtId="0" fontId="10" fillId="0" borderId="30" xfId="60" applyFont="1" applyBorder="1" applyAlignment="1">
      <alignment horizontal="left" wrapText="1"/>
      <protection locked="0"/>
    </xf>
    <xf numFmtId="167" fontId="10" fillId="0" borderId="30" xfId="60" applyNumberFormat="1" applyFont="1" applyBorder="1" applyAlignment="1">
      <alignment horizontal="right"/>
      <protection locked="0"/>
    </xf>
    <xf numFmtId="39" fontId="10" fillId="0" borderId="30" xfId="60" applyNumberFormat="1" applyFont="1" applyBorder="1" applyAlignment="1">
      <alignment horizontal="right"/>
      <protection locked="0"/>
    </xf>
    <xf numFmtId="0" fontId="31" fillId="0" borderId="0" xfId="60" applyFont="1" applyAlignment="1">
      <alignment vertical="top" wrapText="1"/>
      <protection locked="0"/>
    </xf>
    <xf numFmtId="0" fontId="169" fillId="0" borderId="0" xfId="60" applyFont="1" applyAlignment="1">
      <alignment vertical="center"/>
      <protection locked="0"/>
    </xf>
    <xf numFmtId="0" fontId="54" fillId="0" borderId="0" xfId="60" applyFont="1" applyAlignment="1">
      <alignment horizontal="left" vertical="top"/>
      <protection locked="0"/>
    </xf>
    <xf numFmtId="0" fontId="10" fillId="0" borderId="0" xfId="60" applyFont="1" applyAlignment="1">
      <alignment horizontal="left" wrapText="1"/>
      <protection locked="0"/>
    </xf>
    <xf numFmtId="2" fontId="10" fillId="0" borderId="0" xfId="60" applyNumberFormat="1" applyFont="1" applyAlignment="1">
      <alignment horizontal="right"/>
      <protection locked="0"/>
    </xf>
    <xf numFmtId="39" fontId="10" fillId="0" borderId="0" xfId="60" applyNumberFormat="1" applyFont="1" applyAlignment="1">
      <alignment horizontal="right"/>
      <protection locked="0"/>
    </xf>
    <xf numFmtId="39" fontId="10" fillId="0" borderId="0" xfId="60" applyNumberFormat="1" applyFont="1" applyAlignment="1">
      <alignment horizontal="center"/>
      <protection locked="0"/>
    </xf>
    <xf numFmtId="168" fontId="95" fillId="0" borderId="0" xfId="60" applyNumberFormat="1" applyFont="1" applyAlignment="1">
      <alignment horizontal="left" vertical="center" textRotation="90" wrapText="1"/>
      <protection locked="0"/>
    </xf>
    <xf numFmtId="0" fontId="11" fillId="0" borderId="0" xfId="60" applyFont="1" applyAlignment="1">
      <alignment vertical="top" wrapText="1"/>
      <protection locked="0"/>
    </xf>
    <xf numFmtId="0" fontId="11" fillId="0" borderId="0" xfId="60" applyFont="1" applyAlignment="1">
      <alignment vertical="top"/>
      <protection locked="0"/>
    </xf>
    <xf numFmtId="0" fontId="50" fillId="0" borderId="30" xfId="60" applyFont="1" applyBorder="1" applyAlignment="1">
      <alignment horizontal="left" wrapText="1"/>
      <protection locked="0"/>
    </xf>
    <xf numFmtId="167" fontId="30" fillId="0" borderId="30" xfId="60" applyNumberFormat="1" applyFont="1" applyBorder="1" applyAlignment="1">
      <protection locked="0"/>
    </xf>
    <xf numFmtId="39" fontId="50" fillId="0" borderId="30" xfId="60" applyNumberFormat="1" applyFont="1" applyBorder="1" applyAlignment="1">
      <alignment horizontal="right"/>
      <protection locked="0"/>
    </xf>
    <xf numFmtId="39" fontId="50" fillId="0" borderId="30" xfId="60" applyNumberFormat="1" applyFont="1" applyBorder="1" applyAlignment="1">
      <alignment horizontal="center"/>
      <protection locked="0"/>
    </xf>
    <xf numFmtId="0" fontId="198" fillId="0" borderId="0" xfId="70" applyFont="1" applyAlignment="1">
      <alignment horizontal="left" vertical="center"/>
    </xf>
    <xf numFmtId="0" fontId="197" fillId="0" borderId="0" xfId="70"/>
    <xf numFmtId="0" fontId="197" fillId="0" borderId="0" xfId="70" applyAlignment="1">
      <alignment horizontal="left" vertical="center"/>
    </xf>
    <xf numFmtId="0" fontId="197" fillId="0" borderId="42" xfId="70" applyBorder="1"/>
    <xf numFmtId="0" fontId="197" fillId="0" borderId="43" xfId="70" applyBorder="1"/>
    <xf numFmtId="0" fontId="197" fillId="0" borderId="44" xfId="70" applyBorder="1"/>
    <xf numFmtId="0" fontId="199" fillId="0" borderId="0" xfId="70" applyFont="1" applyAlignment="1">
      <alignment horizontal="left" vertical="center"/>
    </xf>
    <xf numFmtId="0" fontId="200" fillId="0" borderId="0" xfId="70" applyFont="1" applyAlignment="1">
      <alignment horizontal="left" vertical="center"/>
    </xf>
    <xf numFmtId="0" fontId="201" fillId="0" borderId="0" xfId="70" applyFont="1" applyAlignment="1">
      <alignment horizontal="left" vertical="top"/>
    </xf>
    <xf numFmtId="0" fontId="12" fillId="0" borderId="0" xfId="70" applyFont="1" applyAlignment="1">
      <alignment horizontal="left" vertical="center"/>
    </xf>
    <xf numFmtId="0" fontId="146" fillId="0" borderId="0" xfId="70" applyFont="1" applyAlignment="1">
      <alignment horizontal="left" vertical="top"/>
    </xf>
    <xf numFmtId="0" fontId="201" fillId="0" borderId="0" xfId="70" applyFont="1" applyAlignment="1">
      <alignment horizontal="left" vertical="center"/>
    </xf>
    <xf numFmtId="0" fontId="12" fillId="0" borderId="0" xfId="70" applyFont="1" applyAlignment="1">
      <alignment horizontal="left" vertical="center" wrapText="1"/>
    </xf>
    <xf numFmtId="0" fontId="197" fillId="0" borderId="45" xfId="70" applyBorder="1"/>
    <xf numFmtId="0" fontId="202" fillId="0" borderId="0" xfId="70" applyFont="1" applyAlignment="1">
      <alignment horizontal="left" vertical="center"/>
    </xf>
    <xf numFmtId="4" fontId="12" fillId="0" borderId="0" xfId="70" applyNumberFormat="1" applyFont="1" applyAlignment="1">
      <alignment vertical="center"/>
    </xf>
    <xf numFmtId="0" fontId="197" fillId="0" borderId="0" xfId="70" applyAlignment="1">
      <alignment vertical="center"/>
    </xf>
    <xf numFmtId="0" fontId="197" fillId="0" borderId="44" xfId="70" applyBorder="1" applyAlignment="1">
      <alignment vertical="center"/>
    </xf>
    <xf numFmtId="0" fontId="18" fillId="0" borderId="46" xfId="70" applyFont="1" applyBorder="1" applyAlignment="1">
      <alignment horizontal="left" vertical="center"/>
    </xf>
    <xf numFmtId="0" fontId="197" fillId="0" borderId="46" xfId="70" applyBorder="1" applyAlignment="1">
      <alignment vertical="center"/>
    </xf>
    <xf numFmtId="0" fontId="201" fillId="0" borderId="0" xfId="70" applyFont="1" applyAlignment="1">
      <alignment horizontal="right" vertical="center"/>
    </xf>
    <xf numFmtId="0" fontId="201" fillId="0" borderId="0" xfId="70" applyFont="1" applyAlignment="1">
      <alignment vertical="center"/>
    </xf>
    <xf numFmtId="0" fontId="201" fillId="0" borderId="44" xfId="70" applyFont="1" applyBorder="1" applyAlignment="1">
      <alignment vertical="center"/>
    </xf>
    <xf numFmtId="0" fontId="197" fillId="8" borderId="0" xfId="70" applyFill="1" applyAlignment="1">
      <alignment vertical="center"/>
    </xf>
    <xf numFmtId="0" fontId="174" fillId="8" borderId="47" xfId="70" applyFont="1" applyFill="1" applyBorder="1" applyAlignment="1">
      <alignment horizontal="left" vertical="center"/>
    </xf>
    <xf numFmtId="0" fontId="197" fillId="8" borderId="48" xfId="70" applyFill="1" applyBorder="1" applyAlignment="1">
      <alignment vertical="center"/>
    </xf>
    <xf numFmtId="0" fontId="174" fillId="8" borderId="48" xfId="70" applyFont="1" applyFill="1" applyBorder="1" applyAlignment="1">
      <alignment horizontal="center" vertical="center"/>
    </xf>
    <xf numFmtId="0" fontId="204" fillId="0" borderId="45" xfId="70" applyFont="1" applyBorder="1" applyAlignment="1">
      <alignment horizontal="left" vertical="center"/>
    </xf>
    <xf numFmtId="0" fontId="197" fillId="0" borderId="45" xfId="70" applyBorder="1" applyAlignment="1">
      <alignment vertical="center"/>
    </xf>
    <xf numFmtId="0" fontId="201" fillId="0" borderId="46" xfId="70" applyFont="1" applyBorder="1" applyAlignment="1">
      <alignment horizontal="left" vertical="center"/>
    </xf>
    <xf numFmtId="0" fontId="197" fillId="0" borderId="50" xfId="70" applyBorder="1" applyAlignment="1">
      <alignment vertical="center"/>
    </xf>
    <xf numFmtId="0" fontId="197" fillId="0" borderId="51" xfId="70" applyBorder="1" applyAlignment="1">
      <alignment vertical="center"/>
    </xf>
    <xf numFmtId="0" fontId="197" fillId="0" borderId="42" xfId="70" applyBorder="1" applyAlignment="1">
      <alignment vertical="center"/>
    </xf>
    <xf numFmtId="0" fontId="197" fillId="0" borderId="43" xfId="70" applyBorder="1" applyAlignment="1">
      <alignment vertical="center"/>
    </xf>
    <xf numFmtId="0" fontId="12" fillId="0" borderId="0" xfId="70" applyFont="1" applyAlignment="1">
      <alignment vertical="center"/>
    </xf>
    <xf numFmtId="0" fontId="12" fillId="0" borderId="44" xfId="70" applyFont="1" applyBorder="1" applyAlignment="1">
      <alignment vertical="center"/>
    </xf>
    <xf numFmtId="0" fontId="146" fillId="0" borderId="0" xfId="70" applyFont="1" applyAlignment="1">
      <alignment vertical="center"/>
    </xf>
    <xf numFmtId="0" fontId="146" fillId="0" borderId="44" xfId="70" applyFont="1" applyBorder="1" applyAlignment="1">
      <alignment vertical="center"/>
    </xf>
    <xf numFmtId="0" fontId="146" fillId="0" borderId="0" xfId="70" applyFont="1" applyAlignment="1">
      <alignment horizontal="left" vertical="center"/>
    </xf>
    <xf numFmtId="0" fontId="18" fillId="0" borderId="0" xfId="70" applyFont="1" applyAlignment="1">
      <alignment vertical="center"/>
    </xf>
    <xf numFmtId="177" fontId="12" fillId="0" borderId="0" xfId="70" applyNumberFormat="1" applyFont="1" applyAlignment="1">
      <alignment horizontal="left" vertical="center"/>
    </xf>
    <xf numFmtId="0" fontId="197" fillId="0" borderId="53" xfId="70" applyBorder="1" applyAlignment="1">
      <alignment vertical="center"/>
    </xf>
    <xf numFmtId="0" fontId="197" fillId="0" borderId="54" xfId="70" applyBorder="1" applyAlignment="1">
      <alignment vertical="center"/>
    </xf>
    <xf numFmtId="0" fontId="206" fillId="0" borderId="0" xfId="70" applyFont="1" applyAlignment="1">
      <alignment horizontal="left" vertical="center"/>
    </xf>
    <xf numFmtId="0" fontId="197" fillId="0" borderId="56" xfId="70" applyBorder="1" applyAlignment="1">
      <alignment vertical="center"/>
    </xf>
    <xf numFmtId="0" fontId="197" fillId="9" borderId="48" xfId="70" applyFill="1" applyBorder="1" applyAlignment="1">
      <alignment vertical="center"/>
    </xf>
    <xf numFmtId="0" fontId="61" fillId="9" borderId="0" xfId="70" applyFont="1" applyFill="1" applyAlignment="1">
      <alignment horizontal="center" vertical="center"/>
    </xf>
    <xf numFmtId="0" fontId="207" fillId="0" borderId="57" xfId="70" applyFont="1" applyBorder="1" applyAlignment="1">
      <alignment horizontal="center" vertical="center" wrapText="1"/>
    </xf>
    <xf numFmtId="0" fontId="207" fillId="0" borderId="58" xfId="70" applyFont="1" applyBorder="1" applyAlignment="1">
      <alignment horizontal="center" vertical="center" wrapText="1"/>
    </xf>
    <xf numFmtId="0" fontId="207" fillId="0" borderId="59" xfId="70" applyFont="1" applyBorder="1" applyAlignment="1">
      <alignment horizontal="center" vertical="center" wrapText="1"/>
    </xf>
    <xf numFmtId="0" fontId="197" fillId="0" borderId="52" xfId="70" applyBorder="1" applyAlignment="1">
      <alignment vertical="center"/>
    </xf>
    <xf numFmtId="0" fontId="174" fillId="0" borderId="0" xfId="70" applyFont="1" applyAlignment="1">
      <alignment vertical="center"/>
    </xf>
    <xf numFmtId="0" fontId="174" fillId="0" borderId="44" xfId="70" applyFont="1" applyBorder="1" applyAlignment="1">
      <alignment vertical="center"/>
    </xf>
    <xf numFmtId="0" fontId="208" fillId="0" borderId="0" xfId="70" applyFont="1" applyAlignment="1">
      <alignment horizontal="left" vertical="center"/>
    </xf>
    <xf numFmtId="0" fontId="208" fillId="0" borderId="0" xfId="70" applyFont="1" applyAlignment="1">
      <alignment vertical="center"/>
    </xf>
    <xf numFmtId="4" fontId="208" fillId="0" borderId="0" xfId="70" applyNumberFormat="1" applyFont="1" applyAlignment="1">
      <alignment vertical="center"/>
    </xf>
    <xf numFmtId="0" fontId="174" fillId="0" borderId="0" xfId="70" applyFont="1" applyAlignment="1">
      <alignment horizontal="center" vertical="center"/>
    </xf>
    <xf numFmtId="4" fontId="205" fillId="0" borderId="55" xfId="70" applyNumberFormat="1" applyFont="1" applyBorder="1" applyAlignment="1">
      <alignment vertical="center"/>
    </xf>
    <xf numFmtId="4" fontId="205" fillId="0" borderId="0" xfId="70" applyNumberFormat="1" applyFont="1" applyAlignment="1">
      <alignment vertical="center"/>
    </xf>
    <xf numFmtId="174" fontId="205" fillId="0" borderId="0" xfId="70" applyNumberFormat="1" applyFont="1" applyAlignment="1">
      <alignment vertical="center"/>
    </xf>
    <xf numFmtId="4" fontId="205" fillId="0" borderId="56" xfId="70" applyNumberFormat="1" applyFont="1" applyBorder="1" applyAlignment="1">
      <alignment vertical="center"/>
    </xf>
    <xf numFmtId="0" fontId="174" fillId="0" borderId="0" xfId="70" applyFont="1" applyAlignment="1">
      <alignment horizontal="left" vertical="center"/>
    </xf>
    <xf numFmtId="0" fontId="209" fillId="0" borderId="0" xfId="70" applyFont="1" applyAlignment="1">
      <alignment horizontal="left" vertical="center"/>
    </xf>
    <xf numFmtId="0" fontId="210" fillId="0" borderId="0" xfId="33" applyFont="1" applyAlignment="1">
      <alignment horizontal="center" vertical="center"/>
    </xf>
    <xf numFmtId="0" fontId="166" fillId="0" borderId="44" xfId="70" applyFont="1" applyBorder="1" applyAlignment="1">
      <alignment vertical="center"/>
    </xf>
    <xf numFmtId="0" fontId="211" fillId="0" borderId="0" xfId="70" applyFont="1" applyAlignment="1">
      <alignment vertical="center"/>
    </xf>
    <xf numFmtId="0" fontId="212" fillId="0" borderId="0" xfId="70" applyFont="1" applyAlignment="1">
      <alignment vertical="center"/>
    </xf>
    <xf numFmtId="0" fontId="146" fillId="0" borderId="0" xfId="70" applyFont="1" applyAlignment="1">
      <alignment horizontal="center" vertical="center"/>
    </xf>
    <xf numFmtId="4" fontId="213" fillId="0" borderId="55" xfId="70" applyNumberFormat="1" applyFont="1" applyBorder="1" applyAlignment="1">
      <alignment vertical="center"/>
    </xf>
    <xf numFmtId="4" fontId="213" fillId="0" borderId="0" xfId="70" applyNumberFormat="1" applyFont="1" applyAlignment="1">
      <alignment vertical="center"/>
    </xf>
    <xf numFmtId="174" fontId="213" fillId="0" borderId="0" xfId="70" applyNumberFormat="1" applyFont="1" applyAlignment="1">
      <alignment vertical="center"/>
    </xf>
    <xf numFmtId="4" fontId="213" fillId="0" borderId="56" xfId="70" applyNumberFormat="1" applyFont="1" applyBorder="1" applyAlignment="1">
      <alignment vertical="center"/>
    </xf>
    <xf numFmtId="0" fontId="166" fillId="0" borderId="0" xfId="70" applyFont="1" applyAlignment="1">
      <alignment vertical="center"/>
    </xf>
    <xf numFmtId="0" fontId="166" fillId="0" borderId="0" xfId="70" applyFont="1" applyAlignment="1">
      <alignment horizontal="left" vertical="center"/>
    </xf>
    <xf numFmtId="4" fontId="213" fillId="0" borderId="60" xfId="70" applyNumberFormat="1" applyFont="1" applyBorder="1" applyAlignment="1">
      <alignment vertical="center"/>
    </xf>
    <xf numFmtId="4" fontId="213" fillId="0" borderId="61" xfId="70" applyNumberFormat="1" applyFont="1" applyBorder="1" applyAlignment="1">
      <alignment vertical="center"/>
    </xf>
    <xf numFmtId="174" fontId="213" fillId="0" borderId="61" xfId="70" applyNumberFormat="1" applyFont="1" applyBorder="1" applyAlignment="1">
      <alignment vertical="center"/>
    </xf>
    <xf numFmtId="4" fontId="213" fillId="0" borderId="62" xfId="70" applyNumberFormat="1" applyFont="1" applyBorder="1" applyAlignment="1">
      <alignment vertical="center"/>
    </xf>
    <xf numFmtId="0" fontId="197" fillId="0" borderId="63" xfId="70" applyBorder="1" applyAlignment="1">
      <alignment vertical="center"/>
    </xf>
    <xf numFmtId="0" fontId="208" fillId="9" borderId="0" xfId="70" applyFont="1" applyFill="1" applyAlignment="1">
      <alignment horizontal="left" vertical="center"/>
    </xf>
    <xf numFmtId="0" fontId="197" fillId="9" borderId="0" xfId="70" applyFill="1" applyAlignment="1">
      <alignment vertical="center"/>
    </xf>
    <xf numFmtId="4" fontId="208" fillId="9" borderId="0" xfId="70" applyNumberFormat="1" applyFont="1" applyFill="1" applyAlignment="1">
      <alignment vertical="center"/>
    </xf>
    <xf numFmtId="0" fontId="214" fillId="0" borderId="0" xfId="70" applyFont="1" applyAlignment="1">
      <alignment horizontal="left" vertical="center"/>
    </xf>
    <xf numFmtId="0" fontId="197" fillId="0" borderId="0" xfId="70" applyAlignment="1">
      <alignment vertical="center" wrapText="1"/>
    </xf>
    <xf numFmtId="0" fontId="197" fillId="0" borderId="44" xfId="70" applyBorder="1" applyAlignment="1">
      <alignment vertical="center" wrapText="1"/>
    </xf>
    <xf numFmtId="0" fontId="18" fillId="0" borderId="0" xfId="70" applyFont="1" applyAlignment="1">
      <alignment horizontal="left" vertical="center"/>
    </xf>
    <xf numFmtId="4" fontId="201" fillId="0" borderId="0" xfId="70" applyNumberFormat="1" applyFont="1" applyAlignment="1">
      <alignment vertical="center"/>
    </xf>
    <xf numFmtId="176" fontId="201" fillId="0" borderId="0" xfId="70" applyNumberFormat="1" applyFont="1" applyAlignment="1">
      <alignment horizontal="right" vertical="center"/>
    </xf>
    <xf numFmtId="0" fontId="174" fillId="9" borderId="47" xfId="70" applyFont="1" applyFill="1" applyBorder="1" applyAlignment="1">
      <alignment horizontal="left" vertical="center"/>
    </xf>
    <xf numFmtId="0" fontId="174" fillId="9" borderId="48" xfId="70" applyFont="1" applyFill="1" applyBorder="1" applyAlignment="1">
      <alignment horizontal="right" vertical="center"/>
    </xf>
    <xf numFmtId="0" fontId="174" fillId="9" borderId="48" xfId="70" applyFont="1" applyFill="1" applyBorder="1" applyAlignment="1">
      <alignment horizontal="center" vertical="center"/>
    </xf>
    <xf numFmtId="4" fontId="174" fillId="9" borderId="48" xfId="70" applyNumberFormat="1" applyFont="1" applyFill="1" applyBorder="1" applyAlignment="1">
      <alignment vertical="center"/>
    </xf>
    <xf numFmtId="0" fontId="197" fillId="9" borderId="49" xfId="70" applyFill="1" applyBorder="1" applyAlignment="1">
      <alignment vertical="center"/>
    </xf>
    <xf numFmtId="0" fontId="201" fillId="0" borderId="46" xfId="70" applyFont="1" applyBorder="1" applyAlignment="1">
      <alignment horizontal="center" vertical="center"/>
    </xf>
    <xf numFmtId="0" fontId="201" fillId="0" borderId="46" xfId="70" applyFont="1" applyBorder="1" applyAlignment="1">
      <alignment horizontal="right" vertical="center"/>
    </xf>
    <xf numFmtId="0" fontId="61" fillId="9" borderId="0" xfId="70" applyFont="1" applyFill="1" applyAlignment="1">
      <alignment horizontal="left" vertical="center"/>
    </xf>
    <xf numFmtId="0" fontId="61" fillId="9" borderId="0" xfId="70" applyFont="1" applyFill="1" applyAlignment="1">
      <alignment horizontal="right" vertical="center"/>
    </xf>
    <xf numFmtId="0" fontId="215" fillId="0" borderId="0" xfId="70" applyFont="1" applyAlignment="1">
      <alignment horizontal="lef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4" fontId="215" fillId="0" borderId="0" xfId="70" applyNumberFormat="1" applyFont="1" applyAlignment="1">
      <alignment vertical="center"/>
    </xf>
    <xf numFmtId="0" fontId="207" fillId="0" borderId="0" xfId="70" applyFont="1" applyAlignment="1">
      <alignment horizontal="center" vertical="center"/>
    </xf>
    <xf numFmtId="0" fontId="197" fillId="0" borderId="44" xfId="70" applyBorder="1" applyAlignment="1" applyProtection="1">
      <alignment vertical="center"/>
      <protection locked="0"/>
    </xf>
    <xf numFmtId="0" fontId="197" fillId="0" borderId="0" xfId="70" applyAlignment="1" applyProtection="1">
      <alignment vertical="center"/>
      <protection locked="0"/>
    </xf>
    <xf numFmtId="0" fontId="201" fillId="0" borderId="0" xfId="70" applyFont="1" applyAlignment="1" applyProtection="1">
      <alignment horizontal="center" vertical="center"/>
      <protection locked="0"/>
    </xf>
    <xf numFmtId="0" fontId="197" fillId="0" borderId="0" xfId="70" applyAlignment="1" applyProtection="1">
      <alignment horizontal="left" vertical="center"/>
      <protection locked="0"/>
    </xf>
    <xf numFmtId="4" fontId="197" fillId="0" borderId="0" xfId="70" applyNumberFormat="1" applyAlignment="1" applyProtection="1">
      <alignment vertical="center"/>
      <protection locked="0"/>
    </xf>
    <xf numFmtId="0" fontId="197" fillId="0" borderId="0" xfId="70" applyAlignment="1">
      <alignment horizontal="center" vertical="center" wrapText="1"/>
    </xf>
    <xf numFmtId="0" fontId="197" fillId="0" borderId="44" xfId="70" applyBorder="1" applyAlignment="1">
      <alignment horizontal="center" vertical="center" wrapText="1"/>
    </xf>
    <xf numFmtId="0" fontId="61" fillId="9" borderId="57" xfId="70" applyFont="1" applyFill="1" applyBorder="1" applyAlignment="1">
      <alignment horizontal="center" vertical="center" wrapText="1"/>
    </xf>
    <xf numFmtId="0" fontId="61" fillId="9" borderId="58" xfId="70" applyFont="1" applyFill="1" applyBorder="1" applyAlignment="1">
      <alignment horizontal="center" vertical="center" wrapText="1"/>
    </xf>
    <xf numFmtId="0" fontId="61" fillId="9" borderId="59" xfId="70" applyFont="1" applyFill="1" applyBorder="1" applyAlignment="1">
      <alignment horizontal="center" vertical="center" wrapText="1"/>
    </xf>
    <xf numFmtId="4" fontId="208" fillId="0" borderId="0" xfId="70" applyNumberFormat="1" applyFont="1"/>
    <xf numFmtId="174" fontId="218" fillId="0" borderId="53" xfId="70" applyNumberFormat="1" applyFont="1" applyBorder="1"/>
    <xf numFmtId="174" fontId="218" fillId="0" borderId="54" xfId="70" applyNumberFormat="1" applyFont="1" applyBorder="1"/>
    <xf numFmtId="4" fontId="39" fillId="0" borderId="0" xfId="70" applyNumberFormat="1" applyFont="1" applyAlignment="1">
      <alignment vertical="center"/>
    </xf>
    <xf numFmtId="0" fontId="219" fillId="0" borderId="0" xfId="70" applyFont="1"/>
    <xf numFmtId="0" fontId="219" fillId="0" borderId="44" xfId="70" applyFont="1" applyBorder="1"/>
    <xf numFmtId="0" fontId="219" fillId="0" borderId="0" xfId="70" applyFont="1" applyAlignment="1">
      <alignment horizontal="left"/>
    </xf>
    <xf numFmtId="0" fontId="216" fillId="0" borderId="0" xfId="70" applyFont="1" applyAlignment="1">
      <alignment horizontal="left"/>
    </xf>
    <xf numFmtId="4" fontId="216" fillId="0" borderId="0" xfId="70" applyNumberFormat="1" applyFont="1"/>
    <xf numFmtId="0" fontId="219" fillId="0" borderId="55" xfId="70" applyFont="1" applyBorder="1"/>
    <xf numFmtId="174" fontId="219" fillId="0" borderId="0" xfId="70" applyNumberFormat="1" applyFont="1"/>
    <xf numFmtId="174" fontId="219" fillId="0" borderId="56" xfId="70" applyNumberFormat="1" applyFont="1" applyBorder="1"/>
    <xf numFmtId="0" fontId="219" fillId="0" borderId="0" xfId="70" applyFont="1" applyAlignment="1">
      <alignment horizontal="center"/>
    </xf>
    <xf numFmtId="4" fontId="219" fillId="0" borderId="0" xfId="70" applyNumberFormat="1" applyFont="1" applyAlignment="1">
      <alignment vertical="center"/>
    </xf>
    <xf numFmtId="0" fontId="217" fillId="0" borderId="0" xfId="70" applyFont="1" applyAlignment="1">
      <alignment horizontal="left"/>
    </xf>
    <xf numFmtId="4" fontId="217" fillId="0" borderId="0" xfId="70" applyNumberFormat="1" applyFont="1"/>
    <xf numFmtId="0" fontId="207" fillId="0" borderId="55" xfId="70" applyFont="1" applyBorder="1" applyAlignment="1">
      <alignment horizontal="left" vertical="center"/>
    </xf>
    <xf numFmtId="174" fontId="207" fillId="0" borderId="0" xfId="70" applyNumberFormat="1" applyFont="1" applyAlignment="1">
      <alignment vertical="center"/>
    </xf>
    <xf numFmtId="174" fontId="207" fillId="0" borderId="56" xfId="70" applyNumberFormat="1" applyFont="1" applyBorder="1" applyAlignment="1">
      <alignment vertical="center"/>
    </xf>
    <xf numFmtId="0" fontId="61" fillId="0" borderId="0" xfId="70" applyFont="1" applyAlignment="1">
      <alignment horizontal="left" vertical="center"/>
    </xf>
    <xf numFmtId="4" fontId="197" fillId="0" borderId="0" xfId="70" applyNumberFormat="1" applyAlignment="1">
      <alignment vertical="center"/>
    </xf>
    <xf numFmtId="0" fontId="220" fillId="0" borderId="0" xfId="70" applyFont="1" applyAlignment="1">
      <alignment vertical="center"/>
    </xf>
    <xf numFmtId="0" fontId="220" fillId="0" borderId="44" xfId="70" applyFont="1" applyBorder="1" applyAlignment="1">
      <alignment vertical="center"/>
    </xf>
    <xf numFmtId="0" fontId="221" fillId="0" borderId="0" xfId="70" applyFont="1" applyAlignment="1">
      <alignment horizontal="left" vertical="center"/>
    </xf>
    <xf numFmtId="0" fontId="220" fillId="0" borderId="0" xfId="70" applyFont="1" applyAlignment="1">
      <alignment horizontal="left" vertical="center"/>
    </xf>
    <xf numFmtId="0" fontId="220" fillId="0" borderId="0" xfId="70" applyFont="1" applyAlignment="1">
      <alignment horizontal="left" vertical="center" wrapText="1"/>
    </xf>
    <xf numFmtId="0" fontId="220" fillId="0" borderId="55" xfId="70" applyFont="1" applyBorder="1" applyAlignment="1">
      <alignment vertical="center"/>
    </xf>
    <xf numFmtId="0" fontId="220"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87" fillId="0" borderId="0" xfId="70" applyFont="1" applyAlignment="1">
      <alignment vertical="center"/>
    </xf>
    <xf numFmtId="0" fontId="87" fillId="0" borderId="44" xfId="70" applyFont="1" applyBorder="1" applyAlignment="1">
      <alignment vertical="center"/>
    </xf>
    <xf numFmtId="0" fontId="87" fillId="0" borderId="0" xfId="70" applyFont="1" applyAlignment="1">
      <alignment horizontal="left" vertical="center"/>
    </xf>
    <xf numFmtId="0" fontId="87" fillId="0" borderId="0" xfId="70" applyFont="1" applyAlignment="1">
      <alignment horizontal="left" vertical="center" wrapText="1"/>
    </xf>
    <xf numFmtId="167" fontId="87" fillId="0" borderId="0" xfId="70" applyNumberFormat="1" applyFont="1" applyAlignment="1">
      <alignment vertical="center"/>
    </xf>
    <xf numFmtId="0" fontId="87" fillId="0" borderId="55" xfId="70" applyFont="1" applyBorder="1" applyAlignment="1">
      <alignment vertical="center"/>
    </xf>
    <xf numFmtId="0" fontId="87" fillId="0" borderId="56" xfId="70" applyFont="1" applyBorder="1" applyAlignment="1">
      <alignment vertical="center"/>
    </xf>
    <xf numFmtId="0" fontId="139" fillId="0" borderId="44" xfId="70" applyFont="1" applyBorder="1" applyAlignment="1">
      <alignment vertical="center"/>
    </xf>
    <xf numFmtId="0" fontId="224" fillId="0" borderId="55" xfId="70" applyFont="1" applyBorder="1" applyAlignment="1">
      <alignment horizontal="left" vertical="center"/>
    </xf>
    <xf numFmtId="0" fontId="224" fillId="0" borderId="0" xfId="70" applyFont="1" applyAlignment="1">
      <alignment horizontal="center" vertical="center"/>
    </xf>
    <xf numFmtId="0" fontId="207" fillId="0" borderId="60" xfId="70" applyFont="1" applyBorder="1" applyAlignment="1">
      <alignment horizontal="left" vertical="center"/>
    </xf>
    <xf numFmtId="0" fontId="207" fillId="0" borderId="61" xfId="70" applyFont="1" applyBorder="1" applyAlignment="1">
      <alignment horizontal="center" vertical="center"/>
    </xf>
    <xf numFmtId="174" fontId="207" fillId="0" borderId="61" xfId="70" applyNumberFormat="1" applyFont="1" applyBorder="1" applyAlignment="1">
      <alignment vertical="center"/>
    </xf>
    <xf numFmtId="174" fontId="207" fillId="0" borderId="62" xfId="70" applyNumberFormat="1" applyFont="1" applyBorder="1" applyAlignment="1">
      <alignment vertical="center"/>
    </xf>
    <xf numFmtId="0" fontId="225" fillId="0" borderId="0" xfId="70" applyFont="1" applyAlignment="1">
      <alignment horizontal="left" vertical="center"/>
    </xf>
    <xf numFmtId="0" fontId="223" fillId="0" borderId="60" xfId="70" applyFont="1" applyBorder="1" applyAlignment="1">
      <alignment vertical="center"/>
    </xf>
    <xf numFmtId="0" fontId="223" fillId="0" borderId="61" xfId="70" applyFont="1" applyBorder="1" applyAlignment="1">
      <alignment vertical="center"/>
    </xf>
    <xf numFmtId="0" fontId="223" fillId="0" borderId="62" xfId="70" applyFont="1" applyBorder="1" applyAlignment="1">
      <alignment vertical="center"/>
    </xf>
    <xf numFmtId="0" fontId="87" fillId="0" borderId="60" xfId="70" applyFont="1" applyBorder="1" applyAlignment="1">
      <alignment vertical="center"/>
    </xf>
    <xf numFmtId="0" fontId="87" fillId="0" borderId="61" xfId="70" applyFont="1" applyBorder="1" applyAlignment="1">
      <alignment vertical="center"/>
    </xf>
    <xf numFmtId="0" fontId="87" fillId="0" borderId="62" xfId="70" applyFont="1" applyBorder="1" applyAlignment="1">
      <alignment vertical="center"/>
    </xf>
    <xf numFmtId="0" fontId="174" fillId="0" borderId="0" xfId="70" applyFont="1" applyAlignment="1">
      <alignment horizontal="left" vertical="center" wrapText="1"/>
    </xf>
    <xf numFmtId="0" fontId="226" fillId="0" borderId="57" xfId="70" applyFont="1" applyBorder="1" applyAlignment="1">
      <alignment horizontal="left" vertical="center" wrapText="1"/>
    </xf>
    <xf numFmtId="0" fontId="226" fillId="0" borderId="64" xfId="70" applyFont="1" applyBorder="1" applyAlignment="1">
      <alignment horizontal="left" vertical="center" wrapText="1"/>
    </xf>
    <xf numFmtId="0" fontId="226" fillId="0" borderId="64" xfId="70" applyFont="1" applyBorder="1" applyAlignment="1">
      <alignment horizontal="left" vertical="center"/>
    </xf>
    <xf numFmtId="167" fontId="226" fillId="0" borderId="59" xfId="70" applyNumberFormat="1" applyFont="1" applyBorder="1" applyAlignment="1">
      <alignment vertical="center"/>
    </xf>
    <xf numFmtId="0" fontId="197" fillId="0" borderId="0" xfId="70" applyAlignment="1">
      <alignment horizontal="left" vertical="center" wrapText="1"/>
    </xf>
    <xf numFmtId="167" fontId="197" fillId="0" borderId="0" xfId="70" applyNumberFormat="1" applyAlignment="1">
      <alignment vertical="center"/>
    </xf>
    <xf numFmtId="0" fontId="39" fillId="0" borderId="0" xfId="70" applyFont="1" applyAlignment="1">
      <alignment horizontal="left" vertical="center"/>
    </xf>
    <xf numFmtId="0" fontId="39" fillId="0" borderId="0" xfId="25" applyFont="1" applyAlignment="1">
      <alignment horizontal="left"/>
    </xf>
    <xf numFmtId="37" fontId="39" fillId="0" borderId="0" xfId="25" applyNumberFormat="1" applyFont="1" applyAlignment="1">
      <alignment horizontal="right"/>
    </xf>
    <xf numFmtId="0" fontId="39" fillId="0" borderId="0" xfId="25" applyFont="1" applyAlignment="1">
      <alignment horizontal="left" wrapText="1"/>
    </xf>
    <xf numFmtId="170" fontId="39" fillId="0" borderId="0" xfId="25" applyNumberFormat="1" applyFont="1" applyAlignment="1">
      <alignment horizontal="right"/>
    </xf>
    <xf numFmtId="4" fontId="39" fillId="0" borderId="0" xfId="25" applyNumberFormat="1" applyFont="1" applyAlignment="1">
      <alignment horizontal="right"/>
    </xf>
    <xf numFmtId="37" fontId="39" fillId="7" borderId="30" xfId="25" applyNumberFormat="1" applyFont="1" applyFill="1" applyBorder="1" applyAlignment="1" applyProtection="1">
      <alignment horizontal="right"/>
      <protection locked="0"/>
    </xf>
    <xf numFmtId="1" fontId="10" fillId="0" borderId="30" xfId="25" applyNumberFormat="1" applyFont="1" applyBorder="1" applyAlignment="1">
      <alignment horizontal="right"/>
    </xf>
    <xf numFmtId="39" fontId="59" fillId="0" borderId="30" xfId="3" applyNumberFormat="1" applyFont="1" applyBorder="1" applyAlignment="1" applyProtection="1">
      <alignment horizontal="right"/>
      <protection locked="0"/>
    </xf>
    <xf numFmtId="0" fontId="71" fillId="0" borderId="0" xfId="51" applyFont="1" applyFill="1" applyAlignment="1" applyProtection="1">
      <alignment horizontal="left" vertical="center"/>
    </xf>
    <xf numFmtId="37" fontId="39" fillId="0" borderId="30" xfId="25" applyNumberFormat="1" applyFont="1" applyBorder="1" applyAlignment="1">
      <alignment horizontal="right"/>
    </xf>
    <xf numFmtId="0" fontId="39" fillId="0" borderId="30" xfId="25" applyFont="1" applyBorder="1" applyAlignment="1">
      <alignment horizontal="left" wrapText="1"/>
    </xf>
    <xf numFmtId="167" fontId="39" fillId="0" borderId="30" xfId="25" applyNumberFormat="1" applyFont="1" applyBorder="1" applyAlignment="1">
      <alignment horizontal="right"/>
    </xf>
    <xf numFmtId="39" fontId="39" fillId="0" borderId="30" xfId="25" applyNumberFormat="1" applyFont="1" applyBorder="1" applyAlignment="1">
      <alignment horizontal="right"/>
    </xf>
    <xf numFmtId="0" fontId="9" fillId="0" borderId="30" xfId="25" applyBorder="1" applyAlignment="1">
      <alignment horizontal="left" vertical="top"/>
    </xf>
    <xf numFmtId="0" fontId="13" fillId="7" borderId="0" xfId="25" applyFont="1" applyFill="1" applyAlignment="1" applyProtection="1">
      <alignment horizontal="left" vertical="top"/>
      <protection locked="0"/>
    </xf>
    <xf numFmtId="39" fontId="30" fillId="0" borderId="30" xfId="25" applyNumberFormat="1" applyFont="1" applyBorder="1" applyAlignment="1" applyProtection="1">
      <alignment horizontal="right"/>
      <protection locked="0"/>
    </xf>
    <xf numFmtId="0" fontId="13" fillId="0" borderId="30" xfId="25" applyFont="1" applyBorder="1" applyAlignment="1" applyProtection="1">
      <alignment horizontal="center" vertical="top"/>
      <protection locked="0"/>
    </xf>
    <xf numFmtId="39" fontId="13" fillId="0" borderId="30" xfId="25" applyNumberFormat="1" applyFont="1" applyBorder="1" applyAlignment="1" applyProtection="1">
      <alignment horizontal="center" vertical="top"/>
      <protection locked="0"/>
    </xf>
    <xf numFmtId="0" fontId="106" fillId="0" borderId="0" xfId="72" applyFont="1" applyFill="1" applyAlignment="1">
      <alignment horizontal="left" vertical="center"/>
      <protection locked="0"/>
    </xf>
    <xf numFmtId="0" fontId="93" fillId="0" borderId="0" xfId="72" applyFill="1" applyAlignment="1">
      <alignment horizontal="left" vertical="top"/>
      <protection locked="0"/>
    </xf>
    <xf numFmtId="0" fontId="83" fillId="0" borderId="0" xfId="72" applyFont="1" applyFill="1" applyAlignment="1">
      <alignment horizontal="left" vertical="center"/>
      <protection locked="0"/>
    </xf>
    <xf numFmtId="1" fontId="10" fillId="0" borderId="30" xfId="73" applyNumberFormat="1" applyFont="1" applyBorder="1" applyAlignment="1">
      <alignment horizontal="right"/>
      <protection locked="0"/>
    </xf>
    <xf numFmtId="0" fontId="98" fillId="0" borderId="30" xfId="48" applyFont="1" applyBorder="1" applyAlignment="1">
      <alignment horizontal="left" wrapText="1"/>
      <protection locked="0"/>
    </xf>
    <xf numFmtId="0" fontId="96" fillId="0" borderId="0" xfId="48" applyFont="1" applyAlignment="1">
      <alignment horizontal="left" vertical="top"/>
      <protection locked="0"/>
    </xf>
    <xf numFmtId="37" fontId="74" fillId="0" borderId="30" xfId="25" applyNumberFormat="1" applyFont="1" applyBorder="1" applyAlignment="1" applyProtection="1">
      <alignment horizontal="right"/>
      <protection locked="0"/>
    </xf>
    <xf numFmtId="4" fontId="74" fillId="5" borderId="30" xfId="25" applyNumberFormat="1" applyFont="1" applyFill="1" applyBorder="1" applyAlignment="1" applyProtection="1">
      <alignment horizontal="right"/>
      <protection locked="0"/>
    </xf>
    <xf numFmtId="0" fontId="96" fillId="0" borderId="0" xfId="25" applyFont="1" applyAlignment="1" applyProtection="1">
      <alignment horizontal="left" vertical="top"/>
      <protection locked="0"/>
    </xf>
    <xf numFmtId="37" fontId="139" fillId="0" borderId="30" xfId="25" applyNumberFormat="1" applyFont="1" applyBorder="1" applyAlignment="1" applyProtection="1">
      <alignment horizontal="right"/>
      <protection locked="0"/>
    </xf>
    <xf numFmtId="0" fontId="230" fillId="0" borderId="30" xfId="25" applyFont="1" applyBorder="1" applyAlignment="1" applyProtection="1">
      <alignment horizontal="left" wrapText="1"/>
      <protection locked="0"/>
    </xf>
    <xf numFmtId="0" fontId="139" fillId="0" borderId="30" xfId="25" applyFont="1" applyBorder="1" applyAlignment="1" applyProtection="1">
      <alignment horizontal="left" wrapText="1"/>
      <protection locked="0"/>
    </xf>
    <xf numFmtId="4" fontId="139" fillId="5" borderId="30" xfId="25" applyNumberFormat="1" applyFont="1" applyFill="1" applyBorder="1" applyAlignment="1" applyProtection="1">
      <alignment horizontal="right"/>
      <protection locked="0"/>
    </xf>
    <xf numFmtId="0" fontId="9" fillId="0" borderId="0" xfId="25" applyAlignment="1" applyProtection="1">
      <alignment vertical="top"/>
      <protection locked="0"/>
    </xf>
    <xf numFmtId="37" fontId="98" fillId="0" borderId="30" xfId="25" applyNumberFormat="1" applyFont="1" applyBorder="1" applyAlignment="1" applyProtection="1">
      <alignment horizontal="right"/>
      <protection locked="0"/>
    </xf>
    <xf numFmtId="0" fontId="98" fillId="0" borderId="30" xfId="25" applyFont="1" applyBorder="1" applyAlignment="1" applyProtection="1">
      <alignment horizontal="left" wrapText="1"/>
      <protection locked="0"/>
    </xf>
    <xf numFmtId="39" fontId="98" fillId="0" borderId="30" xfId="25" applyNumberFormat="1" applyFont="1" applyBorder="1" applyAlignment="1" applyProtection="1">
      <alignment horizontal="right"/>
      <protection locked="0"/>
    </xf>
    <xf numFmtId="167" fontId="9" fillId="0" borderId="0" xfId="25" applyNumberFormat="1" applyAlignment="1" applyProtection="1">
      <alignment vertical="top"/>
      <protection locked="0"/>
    </xf>
    <xf numFmtId="1" fontId="30" fillId="0" borderId="30" xfId="8" applyNumberFormat="1" applyFont="1" applyBorder="1" applyAlignment="1" applyProtection="1">
      <alignment horizontal="right"/>
      <protection locked="0"/>
    </xf>
    <xf numFmtId="0" fontId="30" fillId="0" borderId="30" xfId="8" applyFont="1" applyBorder="1" applyAlignment="1" applyProtection="1">
      <alignment horizontal="left" wrapText="1"/>
      <protection locked="0"/>
    </xf>
    <xf numFmtId="167" fontId="30" fillId="0" borderId="30" xfId="8" applyNumberFormat="1" applyFont="1" applyBorder="1" applyAlignment="1" applyProtection="1">
      <alignment horizontal="right"/>
      <protection locked="0"/>
    </xf>
    <xf numFmtId="4" fontId="30" fillId="0" borderId="30" xfId="8" applyNumberFormat="1" applyFont="1" applyBorder="1" applyAlignment="1" applyProtection="1">
      <alignment horizontal="right"/>
      <protection locked="0"/>
    </xf>
    <xf numFmtId="0" fontId="12" fillId="0" borderId="0" xfId="8" applyAlignment="1" applyProtection="1">
      <alignment horizontal="left" vertical="top"/>
      <protection locked="0"/>
    </xf>
    <xf numFmtId="0" fontId="12" fillId="0" borderId="0" xfId="8"/>
    <xf numFmtId="0" fontId="40" fillId="0" borderId="0" xfId="37"/>
    <xf numFmtId="0" fontId="40" fillId="7" borderId="0" xfId="37" applyFill="1"/>
    <xf numFmtId="0" fontId="96" fillId="7" borderId="0" xfId="25" applyFont="1" applyFill="1" applyAlignment="1" applyProtection="1">
      <alignment horizontal="left" vertical="top"/>
      <protection locked="0"/>
    </xf>
    <xf numFmtId="0" fontId="96" fillId="0" borderId="0" xfId="37" applyFont="1" applyAlignment="1" applyProtection="1">
      <alignment horizontal="left" vertical="top"/>
      <protection locked="0"/>
    </xf>
    <xf numFmtId="0" fontId="69" fillId="0" borderId="0" xfId="60" applyAlignment="1" applyProtection="1"/>
    <xf numFmtId="39" fontId="10" fillId="0" borderId="30" xfId="37" applyNumberFormat="1" applyFont="1" applyBorder="1" applyAlignment="1">
      <alignment horizontal="right"/>
    </xf>
    <xf numFmtId="171" fontId="102" fillId="0" borderId="0" xfId="72" applyNumberFormat="1" applyFont="1" applyFill="1" applyAlignment="1">
      <alignment horizontal="center" vertical="center"/>
      <protection locked="0"/>
    </xf>
    <xf numFmtId="0" fontId="102" fillId="0" borderId="0" xfId="72" applyFont="1" applyFill="1" applyAlignment="1">
      <alignment horizontal="center" vertical="center"/>
      <protection locked="0"/>
    </xf>
    <xf numFmtId="2" fontId="102" fillId="0" borderId="0" xfId="72" applyNumberFormat="1" applyFont="1" applyFill="1" applyAlignment="1">
      <alignment horizontal="center" vertical="center"/>
      <protection locked="0"/>
    </xf>
    <xf numFmtId="39" fontId="102" fillId="0" borderId="0" xfId="72" applyNumberFormat="1" applyFont="1" applyFill="1" applyAlignment="1">
      <alignment horizontal="center" vertical="center"/>
      <protection locked="0"/>
    </xf>
    <xf numFmtId="0" fontId="105" fillId="0" borderId="0" xfId="51" applyFont="1" applyFill="1" applyAlignment="1" applyProtection="1">
      <alignment horizontal="left" vertical="center"/>
      <protection locked="0"/>
    </xf>
    <xf numFmtId="0" fontId="64" fillId="0" borderId="0" xfId="72" applyFont="1" applyFill="1" applyAlignment="1" applyProtection="1">
      <alignment horizontal="left" vertical="center"/>
      <protection locked="0"/>
    </xf>
    <xf numFmtId="49" fontId="125" fillId="0" borderId="0" xfId="51" applyNumberFormat="1" applyFill="1" applyAlignment="1" applyProtection="1">
      <alignment horizontal="left" vertical="top"/>
      <protection locked="0"/>
    </xf>
    <xf numFmtId="6" fontId="125" fillId="0" borderId="0" xfId="51" applyNumberFormat="1" applyFill="1" applyAlignment="1" applyProtection="1">
      <alignment horizontal="left" vertical="top"/>
      <protection locked="0"/>
    </xf>
    <xf numFmtId="0" fontId="96" fillId="0" borderId="0" xfId="40" applyFont="1" applyAlignment="1">
      <alignment horizontal="left" vertical="top"/>
      <protection locked="0"/>
    </xf>
    <xf numFmtId="0" fontId="69" fillId="0" borderId="0" xfId="40" applyAlignment="1">
      <alignment vertical="top"/>
      <protection locked="0"/>
    </xf>
    <xf numFmtId="0" fontId="55" fillId="0" borderId="0" xfId="71" applyFont="1" applyAlignment="1" applyProtection="1">
      <alignment horizontal="left" vertical="top"/>
      <protection locked="0"/>
    </xf>
    <xf numFmtId="0" fontId="96" fillId="0" borderId="0" xfId="25" applyFont="1" applyAlignment="1" applyProtection="1">
      <alignment horizontal="left"/>
      <protection locked="0"/>
    </xf>
    <xf numFmtId="0" fontId="96" fillId="7" borderId="0" xfId="25" applyFont="1" applyFill="1" applyAlignment="1" applyProtection="1">
      <alignment horizontal="left"/>
      <protection locked="0"/>
    </xf>
    <xf numFmtId="0" fontId="9" fillId="0" borderId="0" xfId="75" applyAlignment="1" applyProtection="1">
      <alignment horizontal="left" vertical="top"/>
      <protection locked="0"/>
    </xf>
    <xf numFmtId="0" fontId="96" fillId="0" borderId="0" xfId="75" applyFont="1" applyAlignment="1" applyProtection="1">
      <alignment horizontal="left"/>
      <protection locked="0"/>
    </xf>
    <xf numFmtId="0" fontId="96" fillId="7" borderId="0" xfId="75" applyFont="1" applyFill="1" applyAlignment="1" applyProtection="1">
      <alignment horizontal="left"/>
      <protection locked="0"/>
    </xf>
    <xf numFmtId="0" fontId="30" fillId="0" borderId="30" xfId="74" applyFont="1" applyBorder="1" applyAlignment="1">
      <alignment horizontal="left" wrapText="1"/>
      <protection locked="0"/>
    </xf>
    <xf numFmtId="0" fontId="83" fillId="0" borderId="0" xfId="28" applyFont="1" applyAlignment="1">
      <alignment horizontal="left" vertical="center"/>
      <protection locked="0"/>
    </xf>
    <xf numFmtId="0" fontId="125" fillId="0" borderId="0" xfId="51" applyFill="1" applyAlignment="1" applyProtection="1">
      <alignment vertical="top"/>
    </xf>
    <xf numFmtId="0" fontId="96" fillId="0" borderId="0" xfId="63" applyFont="1" applyAlignment="1" applyProtection="1">
      <alignment horizontal="left" vertical="top"/>
      <protection locked="0"/>
    </xf>
    <xf numFmtId="0" fontId="173" fillId="0" borderId="0" xfId="67" applyFont="1" applyFill="1" applyAlignment="1" applyProtection="1">
      <alignment horizontal="left" vertical="center"/>
      <protection locked="0"/>
    </xf>
    <xf numFmtId="0" fontId="93" fillId="0" borderId="0" xfId="76" applyFill="1" applyAlignment="1" applyProtection="1">
      <alignment horizontal="left" vertical="center"/>
      <protection locked="0"/>
    </xf>
    <xf numFmtId="0" fontId="64" fillId="0" borderId="0" xfId="67" applyFont="1" applyFill="1" applyAlignment="1" applyProtection="1">
      <alignment horizontal="left" vertical="center"/>
      <protection locked="0"/>
    </xf>
    <xf numFmtId="0" fontId="178" fillId="0" borderId="0" xfId="67" applyFill="1" applyAlignment="1" applyProtection="1">
      <alignment horizontal="left" vertical="top"/>
      <protection locked="0"/>
    </xf>
    <xf numFmtId="0" fontId="69" fillId="0" borderId="0" xfId="48" applyAlignment="1" applyProtection="1"/>
    <xf numFmtId="0" fontId="125" fillId="0" borderId="0" xfId="51" applyFill="1" applyAlignment="1">
      <alignment horizontal="left" vertical="top"/>
      <protection locked="0"/>
    </xf>
    <xf numFmtId="0" fontId="250" fillId="0" borderId="0" xfId="51" applyFont="1" applyFill="1" applyAlignment="1" applyProtection="1">
      <alignment horizontal="left" vertical="center"/>
      <protection locked="0"/>
    </xf>
    <xf numFmtId="0" fontId="83" fillId="0" borderId="0" xfId="67" applyFont="1" applyFill="1" applyAlignment="1" applyProtection="1">
      <alignment horizontal="left" vertical="center"/>
      <protection locked="0"/>
    </xf>
    <xf numFmtId="0" fontId="69" fillId="0" borderId="0" xfId="67" applyFont="1" applyFill="1" applyAlignment="1" applyProtection="1">
      <alignment horizontal="left" vertical="center"/>
      <protection locked="0"/>
    </xf>
    <xf numFmtId="0" fontId="13" fillId="0" borderId="0" xfId="37" applyFont="1" applyAlignment="1" applyProtection="1">
      <alignment horizontal="left" vertical="top"/>
      <protection locked="0"/>
    </xf>
    <xf numFmtId="0" fontId="13" fillId="7" borderId="0" xfId="37" applyFont="1" applyFill="1" applyAlignment="1" applyProtection="1">
      <alignment horizontal="left" vertical="top"/>
      <protection locked="0"/>
    </xf>
    <xf numFmtId="0" fontId="40" fillId="0" borderId="0" xfId="37" applyAlignment="1" applyProtection="1">
      <alignment horizontal="left" vertical="top"/>
      <protection locked="0"/>
    </xf>
    <xf numFmtId="4" fontId="10" fillId="0" borderId="30" xfId="25" applyNumberFormat="1" applyFont="1" applyBorder="1" applyAlignment="1">
      <alignment horizontal="right"/>
    </xf>
    <xf numFmtId="39" fontId="68" fillId="0" borderId="30" xfId="25" applyNumberFormat="1" applyFont="1" applyBorder="1" applyAlignment="1" applyProtection="1">
      <alignment horizontal="right"/>
      <protection locked="0"/>
    </xf>
    <xf numFmtId="0" fontId="69" fillId="0" borderId="30" xfId="8" applyFont="1" applyBorder="1" applyAlignment="1" applyProtection="1">
      <alignment horizontal="left" vertical="center"/>
      <protection locked="0"/>
    </xf>
    <xf numFmtId="1" fontId="30" fillId="0" borderId="30" xfId="37" applyNumberFormat="1" applyFont="1" applyBorder="1" applyAlignment="1">
      <alignment horizontal="right"/>
    </xf>
    <xf numFmtId="37" fontId="30" fillId="0" borderId="30" xfId="37" applyNumberFormat="1" applyFont="1" applyBorder="1" applyAlignment="1">
      <alignment horizontal="right"/>
    </xf>
    <xf numFmtId="167" fontId="30" fillId="0" borderId="30" xfId="37" applyNumberFormat="1" applyFont="1" applyBorder="1" applyAlignment="1">
      <alignment horizontal="right"/>
    </xf>
    <xf numFmtId="4" fontId="30" fillId="0" borderId="30" xfId="37" applyNumberFormat="1" applyFont="1" applyBorder="1" applyAlignment="1">
      <alignment horizontal="right"/>
    </xf>
    <xf numFmtId="167" fontId="30" fillId="0" borderId="30" xfId="25" applyNumberFormat="1" applyFont="1" applyBorder="1" applyAlignment="1" applyProtection="1">
      <alignment horizontal="right" wrapText="1"/>
      <protection locked="0"/>
    </xf>
    <xf numFmtId="167" fontId="55" fillId="0" borderId="30" xfId="25" applyNumberFormat="1" applyFont="1" applyBorder="1" applyAlignment="1" applyProtection="1">
      <alignment horizontal="left" vertical="top"/>
      <protection locked="0"/>
    </xf>
    <xf numFmtId="0" fontId="232" fillId="0" borderId="30" xfId="37" applyFont="1" applyBorder="1" applyAlignment="1">
      <alignment horizontal="right" vertical="center"/>
    </xf>
    <xf numFmtId="167" fontId="96" fillId="0" borderId="0" xfId="25" applyNumberFormat="1" applyFont="1" applyAlignment="1" applyProtection="1">
      <alignment horizontal="left" vertical="top"/>
      <protection locked="0"/>
    </xf>
    <xf numFmtId="0" fontId="74" fillId="0" borderId="30" xfId="8" applyFont="1" applyBorder="1" applyAlignment="1" applyProtection="1">
      <alignment horizontal="left" wrapText="1"/>
      <protection locked="0"/>
    </xf>
    <xf numFmtId="0" fontId="69" fillId="0" borderId="30" xfId="8" applyFont="1" applyBorder="1" applyAlignment="1" applyProtection="1">
      <alignment horizontal="right" vertical="center"/>
      <protection locked="0"/>
    </xf>
    <xf numFmtId="167" fontId="98" fillId="0" borderId="30" xfId="25" applyNumberFormat="1" applyFont="1" applyBorder="1" applyAlignment="1" applyProtection="1">
      <alignment horizontal="left" wrapText="1"/>
      <protection locked="0"/>
    </xf>
    <xf numFmtId="0" fontId="74" fillId="0" borderId="30" xfId="74" applyFont="1" applyBorder="1" applyAlignment="1">
      <alignment horizontal="left" wrapText="1"/>
      <protection locked="0"/>
    </xf>
    <xf numFmtId="0" fontId="13" fillId="0" borderId="30" xfId="60" applyFont="1" applyBorder="1" applyAlignment="1">
      <alignment horizontal="left" vertical="top"/>
      <protection locked="0"/>
    </xf>
    <xf numFmtId="0" fontId="72" fillId="0" borderId="30" xfId="37" applyFont="1" applyBorder="1" applyAlignment="1">
      <alignment horizontal="right" vertical="center"/>
    </xf>
    <xf numFmtId="0" fontId="229" fillId="0" borderId="30" xfId="48" applyFont="1" applyBorder="1" applyAlignment="1">
      <alignment horizontal="left" vertical="center" wrapText="1"/>
      <protection locked="0"/>
    </xf>
    <xf numFmtId="0" fontId="74" fillId="0" borderId="30" xfId="48" quotePrefix="1" applyFont="1" applyBorder="1" applyAlignment="1" applyProtection="1">
      <alignment horizontal="left" wrapText="1"/>
    </xf>
    <xf numFmtId="171" fontId="10" fillId="0" borderId="30" xfId="25" applyNumberFormat="1" applyFont="1" applyBorder="1" applyAlignment="1" applyProtection="1">
      <alignment horizontal="right"/>
      <protection locked="0"/>
    </xf>
    <xf numFmtId="49" fontId="30" fillId="0" borderId="30" xfId="69" applyNumberFormat="1" applyFont="1" applyBorder="1" applyAlignment="1" applyProtection="1">
      <alignment horizontal="right"/>
      <protection locked="0"/>
    </xf>
    <xf numFmtId="49" fontId="68" fillId="0" borderId="30" xfId="69" applyNumberFormat="1" applyFont="1" applyBorder="1" applyAlignment="1" applyProtection="1">
      <alignment horizontal="left" wrapText="1"/>
      <protection locked="0"/>
    </xf>
    <xf numFmtId="0" fontId="68" fillId="0" borderId="30" xfId="69" applyFont="1" applyBorder="1" applyAlignment="1" applyProtection="1">
      <alignment horizontal="left" wrapText="1"/>
      <protection locked="0"/>
    </xf>
    <xf numFmtId="0" fontId="30" fillId="0" borderId="30" xfId="69" applyFont="1" applyBorder="1" applyAlignment="1" applyProtection="1">
      <alignment horizontal="left" wrapText="1"/>
      <protection locked="0"/>
    </xf>
    <xf numFmtId="167" fontId="101" fillId="0" borderId="30" xfId="69" applyNumberFormat="1" applyFont="1" applyBorder="1" applyAlignment="1" applyProtection="1">
      <alignment horizontal="right" wrapText="1"/>
      <protection locked="0"/>
    </xf>
    <xf numFmtId="4" fontId="68" fillId="0" borderId="30" xfId="69" applyNumberFormat="1" applyFont="1" applyBorder="1" applyAlignment="1" applyProtection="1">
      <alignment horizontal="right"/>
      <protection locked="0"/>
    </xf>
    <xf numFmtId="0" fontId="12" fillId="0" borderId="30" xfId="69" applyBorder="1" applyAlignment="1" applyProtection="1">
      <alignment horizontal="left" vertical="top"/>
      <protection locked="0"/>
    </xf>
    <xf numFmtId="0" fontId="9" fillId="0" borderId="0" xfId="71"/>
    <xf numFmtId="0" fontId="39" fillId="0" borderId="0" xfId="71" applyFont="1" applyAlignment="1">
      <alignment horizontal="left"/>
    </xf>
    <xf numFmtId="0" fontId="10" fillId="0" borderId="0" xfId="71" applyFont="1" applyAlignment="1">
      <alignment horizontal="left"/>
    </xf>
    <xf numFmtId="0" fontId="38" fillId="0" borderId="0" xfId="71" applyFont="1" applyAlignment="1">
      <alignment horizontal="left"/>
    </xf>
    <xf numFmtId="0" fontId="9" fillId="0" borderId="0" xfId="71" applyAlignment="1" applyProtection="1">
      <alignment horizontal="left" vertical="top"/>
      <protection locked="0"/>
    </xf>
    <xf numFmtId="0" fontId="45" fillId="0" borderId="0" xfId="71" applyFont="1" applyAlignment="1">
      <alignment horizontal="left"/>
    </xf>
    <xf numFmtId="0" fontId="38" fillId="0" borderId="0" xfId="71" applyFont="1" applyAlignment="1">
      <alignment horizontal="center"/>
    </xf>
    <xf numFmtId="0" fontId="46" fillId="0" borderId="0" xfId="71" applyFont="1" applyAlignment="1">
      <alignment horizontal="right" vertical="top"/>
    </xf>
    <xf numFmtId="0" fontId="47" fillId="0" borderId="31" xfId="71" applyFont="1" applyBorder="1" applyAlignment="1">
      <alignment horizontal="center" vertical="center" wrapText="1"/>
    </xf>
    <xf numFmtId="0" fontId="47" fillId="0" borderId="12" xfId="71" applyFont="1" applyBorder="1" applyAlignment="1">
      <alignment horizontal="center" vertical="center" wrapText="1"/>
    </xf>
    <xf numFmtId="37" fontId="39" fillId="0" borderId="0" xfId="71" applyNumberFormat="1" applyFont="1" applyAlignment="1">
      <alignment horizontal="right"/>
    </xf>
    <xf numFmtId="0" fontId="39" fillId="0" borderId="0" xfId="71" applyFont="1" applyAlignment="1">
      <alignment horizontal="left" wrapText="1"/>
    </xf>
    <xf numFmtId="170" fontId="39" fillId="0" borderId="0" xfId="71" applyNumberFormat="1" applyFont="1" applyAlignment="1">
      <alignment horizontal="right"/>
    </xf>
    <xf numFmtId="4" fontId="39" fillId="0" borderId="0" xfId="71" applyNumberFormat="1" applyFont="1" applyAlignment="1">
      <alignment horizontal="right"/>
    </xf>
    <xf numFmtId="0" fontId="9" fillId="0" borderId="0" xfId="71" applyAlignment="1">
      <alignment horizontal="left" vertical="top"/>
    </xf>
    <xf numFmtId="37" fontId="39" fillId="7" borderId="30" xfId="71" applyNumberFormat="1" applyFont="1" applyFill="1" applyBorder="1" applyAlignment="1" applyProtection="1">
      <alignment horizontal="right"/>
      <protection locked="0"/>
    </xf>
    <xf numFmtId="0" fontId="39" fillId="7" borderId="30" xfId="71" applyFont="1" applyFill="1" applyBorder="1" applyAlignment="1" applyProtection="1">
      <alignment horizontal="left" wrapText="1"/>
      <protection locked="0"/>
    </xf>
    <xf numFmtId="2" fontId="39" fillId="7" borderId="30" xfId="71" applyNumberFormat="1" applyFont="1" applyFill="1" applyBorder="1" applyAlignment="1" applyProtection="1">
      <alignment horizontal="right"/>
      <protection locked="0"/>
    </xf>
    <xf numFmtId="39" fontId="39" fillId="7" borderId="30" xfId="71" applyNumberFormat="1" applyFont="1" applyFill="1" applyBorder="1" applyAlignment="1" applyProtection="1">
      <alignment horizontal="right"/>
      <protection locked="0"/>
    </xf>
    <xf numFmtId="39" fontId="39" fillId="0" borderId="30" xfId="71" applyNumberFormat="1" applyFont="1" applyBorder="1" applyAlignment="1" applyProtection="1">
      <alignment horizontal="right"/>
      <protection locked="0"/>
    </xf>
    <xf numFmtId="0" fontId="9" fillId="0" borderId="30" xfId="71" applyBorder="1" applyAlignment="1" applyProtection="1">
      <alignment vertical="top"/>
      <protection locked="0"/>
    </xf>
    <xf numFmtId="0" fontId="9" fillId="7" borderId="0" xfId="71" applyFill="1" applyAlignment="1" applyProtection="1">
      <alignment horizontal="left" vertical="top"/>
      <protection locked="0"/>
    </xf>
    <xf numFmtId="0" fontId="10" fillId="0" borderId="30" xfId="71" applyFont="1" applyBorder="1" applyAlignment="1" applyProtection="1">
      <alignment horizontal="left" wrapText="1"/>
      <protection locked="0"/>
    </xf>
    <xf numFmtId="167" fontId="10" fillId="0" borderId="30" xfId="71" applyNumberFormat="1" applyFont="1" applyBorder="1" applyAlignment="1" applyProtection="1">
      <alignment horizontal="right"/>
      <protection locked="0"/>
    </xf>
    <xf numFmtId="49" fontId="10" fillId="0" borderId="30" xfId="71" applyNumberFormat="1" applyFont="1" applyBorder="1" applyAlignment="1" applyProtection="1">
      <alignment horizontal="left" wrapText="1"/>
      <protection locked="0"/>
    </xf>
    <xf numFmtId="0" fontId="30" fillId="0" borderId="30" xfId="71" applyFont="1" applyBorder="1" applyAlignment="1" applyProtection="1">
      <alignment horizontal="left" wrapText="1"/>
      <protection locked="0"/>
    </xf>
    <xf numFmtId="167" fontId="30" fillId="0" borderId="30" xfId="71" applyNumberFormat="1" applyFont="1" applyBorder="1" applyAlignment="1" applyProtection="1">
      <alignment horizontal="right"/>
      <protection locked="0"/>
    </xf>
    <xf numFmtId="39" fontId="10" fillId="0" borderId="30" xfId="71" applyNumberFormat="1" applyFont="1" applyBorder="1" applyAlignment="1" applyProtection="1">
      <alignment horizontal="right"/>
      <protection locked="0"/>
    </xf>
    <xf numFmtId="39" fontId="10" fillId="0" borderId="30" xfId="71" applyNumberFormat="1" applyFont="1" applyBorder="1" applyAlignment="1" applyProtection="1">
      <alignment horizontal="center"/>
      <protection locked="0"/>
    </xf>
    <xf numFmtId="0" fontId="9" fillId="0" borderId="30" xfId="71" applyBorder="1" applyAlignment="1" applyProtection="1">
      <alignment horizontal="left" vertical="top"/>
      <protection locked="0"/>
    </xf>
    <xf numFmtId="37" fontId="10" fillId="0" borderId="30" xfId="71" applyNumberFormat="1" applyFont="1" applyBorder="1" applyAlignment="1" applyProtection="1">
      <alignment horizontal="right"/>
      <protection locked="0"/>
    </xf>
    <xf numFmtId="0" fontId="39" fillId="0" borderId="30" xfId="71" applyFont="1" applyBorder="1" applyAlignment="1" applyProtection="1">
      <alignment horizontal="left" wrapText="1"/>
      <protection locked="0"/>
    </xf>
    <xf numFmtId="167" fontId="39" fillId="0" borderId="30" xfId="71" applyNumberFormat="1" applyFont="1" applyBorder="1" applyAlignment="1" applyProtection="1">
      <alignment horizontal="right"/>
      <protection locked="0"/>
    </xf>
    <xf numFmtId="37" fontId="39" fillId="0" borderId="30" xfId="71" applyNumberFormat="1" applyFont="1" applyBorder="1" applyAlignment="1">
      <alignment horizontal="right"/>
    </xf>
    <xf numFmtId="0" fontId="39" fillId="0" borderId="30" xfId="71" applyFont="1" applyBorder="1" applyAlignment="1">
      <alignment horizontal="left" wrapText="1"/>
    </xf>
    <xf numFmtId="39" fontId="39" fillId="0" borderId="30" xfId="71" applyNumberFormat="1" applyFont="1" applyBorder="1" applyAlignment="1">
      <alignment horizontal="right"/>
    </xf>
    <xf numFmtId="0" fontId="9" fillId="0" borderId="30" xfId="71" applyBorder="1" applyAlignment="1">
      <alignment horizontal="left" vertical="top"/>
    </xf>
    <xf numFmtId="0" fontId="251" fillId="0" borderId="0" xfId="51" applyFont="1" applyFill="1" applyAlignment="1" applyProtection="1">
      <alignment horizontal="left" vertical="center"/>
      <protection locked="0"/>
    </xf>
    <xf numFmtId="0" fontId="96" fillId="0" borderId="0" xfId="71" applyFont="1" applyAlignment="1" applyProtection="1">
      <alignment horizontal="left"/>
      <protection locked="0"/>
    </xf>
    <xf numFmtId="0" fontId="96" fillId="7" borderId="0" xfId="71" applyFont="1" applyFill="1" applyAlignment="1" applyProtection="1">
      <alignment horizontal="left"/>
      <protection locked="0"/>
    </xf>
    <xf numFmtId="0" fontId="93" fillId="0" borderId="0" xfId="76" applyFill="1" applyAlignment="1" applyProtection="1">
      <alignment horizontal="left" vertical="top"/>
      <protection locked="0"/>
    </xf>
    <xf numFmtId="0" fontId="13" fillId="0" borderId="0" xfId="71" applyFont="1" applyAlignment="1" applyProtection="1">
      <alignment horizontal="left" vertical="top"/>
      <protection locked="0"/>
    </xf>
    <xf numFmtId="0" fontId="13" fillId="7" borderId="0" xfId="71" applyFont="1" applyFill="1" applyAlignment="1" applyProtection="1">
      <alignment horizontal="left" vertical="top"/>
      <protection locked="0"/>
    </xf>
    <xf numFmtId="37" fontId="39" fillId="0" borderId="30" xfId="71" applyNumberFormat="1" applyFont="1" applyBorder="1" applyAlignment="1" applyProtection="1">
      <alignment horizontal="right"/>
      <protection locked="0"/>
    </xf>
    <xf numFmtId="39" fontId="10" fillId="0" borderId="30" xfId="63" applyNumberFormat="1" applyFont="1" applyBorder="1" applyAlignment="1" applyProtection="1">
      <alignment horizontal="center"/>
      <protection locked="0"/>
    </xf>
    <xf numFmtId="0" fontId="9" fillId="0" borderId="0" xfId="71" applyAlignment="1" applyProtection="1">
      <alignment vertical="top"/>
      <protection locked="0"/>
    </xf>
    <xf numFmtId="0" fontId="13" fillId="0" borderId="0" xfId="63" applyFont="1" applyAlignment="1" applyProtection="1">
      <alignment horizontal="left" vertical="top"/>
      <protection locked="0"/>
    </xf>
    <xf numFmtId="0" fontId="30" fillId="0" borderId="30" xfId="63" applyFont="1" applyBorder="1" applyAlignment="1" applyProtection="1">
      <alignment horizontal="left" wrapText="1"/>
      <protection locked="0"/>
    </xf>
    <xf numFmtId="39" fontId="50" fillId="0" borderId="30" xfId="71" applyNumberFormat="1" applyFont="1" applyBorder="1" applyAlignment="1" applyProtection="1">
      <alignment horizontal="center"/>
      <protection locked="0"/>
    </xf>
    <xf numFmtId="0" fontId="55" fillId="0" borderId="30" xfId="71" applyFont="1" applyBorder="1" applyAlignment="1" applyProtection="1">
      <alignment horizontal="left" vertical="top"/>
      <protection locked="0"/>
    </xf>
    <xf numFmtId="37" fontId="88" fillId="0" borderId="0" xfId="71" applyNumberFormat="1" applyFont="1" applyAlignment="1">
      <alignment horizontal="right"/>
    </xf>
    <xf numFmtId="0" fontId="88" fillId="0" borderId="0" xfId="71" applyFont="1" applyAlignment="1">
      <alignment horizontal="left" wrapText="1"/>
    </xf>
    <xf numFmtId="170" fontId="88" fillId="0" borderId="0" xfId="71" applyNumberFormat="1" applyFont="1" applyAlignment="1">
      <alignment horizontal="right"/>
    </xf>
    <xf numFmtId="39" fontId="88" fillId="0" borderId="0" xfId="71" applyNumberFormat="1" applyFont="1" applyAlignment="1">
      <alignment horizontal="right"/>
    </xf>
    <xf numFmtId="37" fontId="10" fillId="0" borderId="21" xfId="71" applyNumberFormat="1" applyFont="1" applyBorder="1" applyAlignment="1">
      <alignment horizontal="right"/>
    </xf>
    <xf numFmtId="0" fontId="10" fillId="0" borderId="21" xfId="71" applyFont="1" applyBorder="1" applyAlignment="1">
      <alignment horizontal="left" wrapText="1"/>
    </xf>
    <xf numFmtId="0" fontId="10" fillId="0" borderId="21" xfId="71" applyFont="1" applyBorder="1" applyAlignment="1">
      <alignment horizontal="center" wrapText="1"/>
    </xf>
    <xf numFmtId="170" fontId="10" fillId="0" borderId="21" xfId="71" applyNumberFormat="1" applyFont="1" applyBorder="1" applyAlignment="1">
      <alignment horizontal="right"/>
    </xf>
    <xf numFmtId="39" fontId="10" fillId="0" borderId="21" xfId="71" applyNumberFormat="1" applyFont="1" applyBorder="1" applyAlignment="1">
      <alignment horizontal="right"/>
    </xf>
    <xf numFmtId="0" fontId="89" fillId="0" borderId="0" xfId="71" applyFont="1" applyAlignment="1">
      <alignment horizontal="left" vertical="top"/>
    </xf>
    <xf numFmtId="0" fontId="39" fillId="0" borderId="32" xfId="71" applyFont="1" applyBorder="1" applyAlignment="1">
      <alignment horizontal="left"/>
    </xf>
    <xf numFmtId="0" fontId="68" fillId="0" borderId="33" xfId="71" applyFont="1" applyBorder="1" applyAlignment="1">
      <alignment horizontal="center"/>
    </xf>
    <xf numFmtId="170" fontId="68" fillId="0" borderId="33" xfId="71" applyNumberFormat="1" applyFont="1" applyBorder="1" applyAlignment="1">
      <alignment horizontal="right"/>
    </xf>
    <xf numFmtId="39" fontId="10" fillId="0" borderId="33" xfId="71" applyNumberFormat="1" applyFont="1" applyBorder="1" applyAlignment="1">
      <alignment horizontal="right"/>
    </xf>
    <xf numFmtId="39" fontId="50" fillId="0" borderId="0" xfId="71" applyNumberFormat="1" applyFont="1" applyAlignment="1">
      <alignment horizontal="center"/>
    </xf>
    <xf numFmtId="37" fontId="68" fillId="0" borderId="0" xfId="71" applyNumberFormat="1" applyFont="1" applyAlignment="1">
      <alignment horizontal="right"/>
    </xf>
    <xf numFmtId="0" fontId="68" fillId="0" borderId="0" xfId="71" applyFont="1" applyAlignment="1">
      <alignment horizontal="left" wrapText="1"/>
    </xf>
    <xf numFmtId="0" fontId="10" fillId="0" borderId="0" xfId="71" applyFont="1" applyAlignment="1">
      <alignment horizontal="left" wrapText="1"/>
    </xf>
    <xf numFmtId="0" fontId="68" fillId="0" borderId="0" xfId="71" applyFont="1" applyAlignment="1">
      <alignment horizontal="center" wrapText="1"/>
    </xf>
    <xf numFmtId="170" fontId="68" fillId="0" borderId="0" xfId="71" applyNumberFormat="1" applyFont="1" applyAlignment="1">
      <alignment horizontal="right"/>
    </xf>
    <xf numFmtId="39" fontId="68" fillId="0" borderId="0" xfId="71" applyNumberFormat="1" applyFont="1" applyAlignment="1">
      <alignment horizontal="right"/>
    </xf>
    <xf numFmtId="39" fontId="10" fillId="0" borderId="0" xfId="71" applyNumberFormat="1" applyFont="1" applyAlignment="1">
      <alignment horizontal="right"/>
    </xf>
    <xf numFmtId="0" fontId="39" fillId="0" borderId="0" xfId="27" applyFont="1" applyAlignment="1" applyProtection="1">
      <alignment horizontal="left"/>
    </xf>
    <xf numFmtId="0" fontId="39" fillId="0" borderId="0" xfId="27" applyFont="1" applyAlignment="1" applyProtection="1">
      <alignment wrapText="1"/>
    </xf>
    <xf numFmtId="0" fontId="69" fillId="0" borderId="0" xfId="27" applyFont="1" applyAlignment="1" applyProtection="1"/>
    <xf numFmtId="0" fontId="13" fillId="0" borderId="0" xfId="27" applyAlignment="1" applyProtection="1"/>
    <xf numFmtId="0" fontId="161" fillId="0" borderId="0" xfId="27" applyFont="1" applyAlignment="1" applyProtection="1">
      <alignment horizontal="left" vertical="center"/>
    </xf>
    <xf numFmtId="0" fontId="97" fillId="0" borderId="0" xfId="27" applyFont="1" applyAlignment="1">
      <alignment horizontal="left" vertical="top"/>
      <protection locked="0"/>
    </xf>
    <xf numFmtId="0" fontId="13" fillId="7" borderId="0" xfId="27" applyFill="1" applyAlignment="1">
      <alignment horizontal="left" vertical="top"/>
      <protection locked="0"/>
    </xf>
    <xf numFmtId="2" fontId="252" fillId="0" borderId="0" xfId="49" applyNumberFormat="1" applyFont="1" applyAlignment="1" applyProtection="1">
      <alignment horizontal="left" vertical="center"/>
      <protection locked="0"/>
    </xf>
    <xf numFmtId="0" fontId="252" fillId="0" borderId="0" xfId="60" applyFont="1" applyAlignment="1">
      <alignment horizontal="left" vertical="center"/>
      <protection locked="0"/>
    </xf>
    <xf numFmtId="2" fontId="252" fillId="0" borderId="0" xfId="60" applyNumberFormat="1" applyFont="1" applyAlignment="1">
      <alignment horizontal="left" vertical="center"/>
      <protection locked="0"/>
    </xf>
    <xf numFmtId="0" fontId="252" fillId="0" borderId="0" xfId="49" applyFont="1" applyAlignment="1" applyProtection="1">
      <alignment horizontal="left" vertical="center"/>
      <protection locked="0"/>
    </xf>
    <xf numFmtId="37" fontId="10" fillId="0" borderId="30" xfId="73" applyNumberFormat="1" applyFont="1" applyBorder="1" applyAlignment="1">
      <alignment horizontal="right"/>
      <protection locked="0"/>
    </xf>
    <xf numFmtId="0" fontId="54" fillId="0" borderId="0" xfId="48" applyFont="1" applyAlignment="1" applyProtection="1"/>
    <xf numFmtId="0" fontId="82" fillId="0" borderId="0" xfId="78" applyFont="1" applyAlignment="1" applyProtection="1">
      <alignment horizontal="left" vertical="center"/>
      <protection locked="0"/>
    </xf>
    <xf numFmtId="0" fontId="14" fillId="0" borderId="0" xfId="78" applyAlignment="1" applyProtection="1">
      <alignment horizontal="left" vertical="top"/>
      <protection locked="0"/>
    </xf>
    <xf numFmtId="0" fontId="14" fillId="0" borderId="0" xfId="78"/>
    <xf numFmtId="2" fontId="14" fillId="0" borderId="0" xfId="78" applyNumberFormat="1" applyAlignment="1" applyProtection="1">
      <alignment horizontal="left" vertical="top"/>
      <protection locked="0"/>
    </xf>
    <xf numFmtId="0" fontId="61" fillId="0" borderId="0" xfId="53" applyFont="1" applyAlignment="1" applyProtection="1">
      <alignment horizontal="left" vertical="top"/>
      <protection locked="0"/>
    </xf>
    <xf numFmtId="0" fontId="52" fillId="0" borderId="0" xfId="53" applyFont="1" applyAlignment="1" applyProtection="1">
      <alignment horizontal="left" vertical="top"/>
      <protection locked="0"/>
    </xf>
    <xf numFmtId="0" fontId="253" fillId="0" borderId="0" xfId="53" applyFont="1" applyAlignment="1" applyProtection="1">
      <alignment horizontal="left" vertical="top"/>
      <protection locked="0"/>
    </xf>
    <xf numFmtId="0" fontId="10" fillId="0" borderId="0" xfId="53" applyFont="1" applyAlignment="1" applyProtection="1">
      <alignment horizontal="left" vertical="top"/>
      <protection locked="0"/>
    </xf>
    <xf numFmtId="0" fontId="74" fillId="0" borderId="0" xfId="53" applyFont="1" applyAlignment="1" applyProtection="1">
      <alignment horizontal="left" wrapText="1"/>
      <protection locked="0"/>
    </xf>
    <xf numFmtId="0" fontId="10" fillId="0" borderId="0" xfId="53" applyFont="1" applyAlignment="1" applyProtection="1">
      <alignment vertical="top"/>
      <protection locked="0"/>
    </xf>
    <xf numFmtId="0" fontId="12" fillId="0" borderId="0" xfId="53" applyAlignment="1" applyProtection="1">
      <alignment vertical="top"/>
      <protection locked="0"/>
    </xf>
    <xf numFmtId="0" fontId="40" fillId="0" borderId="0" xfId="53" applyFont="1" applyAlignment="1" applyProtection="1">
      <alignment horizontal="left" vertical="top"/>
      <protection locked="0"/>
    </xf>
    <xf numFmtId="0" fontId="31" fillId="0" borderId="0" xfId="27" applyFont="1" applyAlignment="1">
      <alignment horizontal="left" vertical="center"/>
      <protection locked="0"/>
    </xf>
    <xf numFmtId="0" fontId="19" fillId="0" borderId="0" xfId="27" applyFont="1" applyAlignment="1">
      <alignment horizontal="right" vertical="top"/>
      <protection locked="0"/>
    </xf>
    <xf numFmtId="167" fontId="31" fillId="0" borderId="0" xfId="27" applyNumberFormat="1" applyFont="1" applyAlignment="1">
      <alignment horizontal="left" vertical="center"/>
      <protection locked="0"/>
    </xf>
    <xf numFmtId="0" fontId="13" fillId="0" borderId="0" xfId="53" applyFont="1" applyAlignment="1" applyProtection="1">
      <alignment horizontal="left" vertical="top"/>
      <protection locked="0"/>
    </xf>
    <xf numFmtId="0" fontId="40" fillId="0" borderId="0" xfId="53" applyFont="1" applyAlignment="1" applyProtection="1">
      <alignment vertical="top"/>
      <protection locked="0"/>
    </xf>
    <xf numFmtId="167" fontId="165" fillId="0" borderId="0" xfId="49" applyNumberFormat="1" applyFont="1" applyAlignment="1" applyProtection="1">
      <alignment horizontal="right" vertical="top"/>
      <protection locked="0"/>
    </xf>
    <xf numFmtId="0" fontId="54" fillId="0" borderId="0" xfId="80" applyFont="1" applyAlignment="1">
      <alignment horizontal="left" vertical="center"/>
      <protection locked="0"/>
    </xf>
    <xf numFmtId="0" fontId="33" fillId="0" borderId="0" xfId="80" applyAlignment="1">
      <alignment horizontal="left" vertical="center"/>
      <protection locked="0"/>
    </xf>
    <xf numFmtId="0" fontId="33" fillId="0" borderId="0" xfId="80" applyAlignment="1">
      <alignment horizontal="left" vertical="top"/>
      <protection locked="0"/>
    </xf>
    <xf numFmtId="0" fontId="156" fillId="0" borderId="0" xfId="80" applyFont="1" applyAlignment="1">
      <alignment horizontal="center" vertical="center"/>
      <protection locked="0"/>
    </xf>
    <xf numFmtId="0" fontId="84" fillId="0" borderId="0" xfId="80" applyFont="1" applyAlignment="1">
      <alignment horizontal="right" vertical="center"/>
      <protection locked="0"/>
    </xf>
    <xf numFmtId="0" fontId="54" fillId="0" borderId="0" xfId="83" applyFont="1" applyAlignment="1" applyProtection="1">
      <alignment horizontal="right" vertical="center"/>
      <protection locked="0"/>
    </xf>
    <xf numFmtId="0" fontId="40" fillId="0" borderId="0" xfId="83" applyAlignment="1">
      <alignment vertical="center"/>
    </xf>
    <xf numFmtId="0" fontId="33" fillId="0" borderId="0" xfId="82" applyAlignment="1">
      <alignment horizontal="left" vertical="top"/>
      <protection locked="0"/>
    </xf>
    <xf numFmtId="0" fontId="84" fillId="0" borderId="0" xfId="83" applyFont="1" applyAlignment="1" applyProtection="1">
      <alignment horizontal="right" vertical="center"/>
      <protection locked="0"/>
    </xf>
    <xf numFmtId="0" fontId="257" fillId="0" borderId="0" xfId="83" applyFont="1" applyAlignment="1" applyProtection="1">
      <alignment horizontal="right" vertical="center"/>
      <protection locked="0"/>
    </xf>
    <xf numFmtId="0" fontId="57" fillId="0" borderId="0" xfId="83" applyFont="1" applyAlignment="1">
      <alignment vertical="center"/>
    </xf>
    <xf numFmtId="0" fontId="13" fillId="0" borderId="0" xfId="82" applyFont="1" applyAlignment="1">
      <alignment horizontal="left" vertical="top"/>
      <protection locked="0"/>
    </xf>
    <xf numFmtId="0" fontId="84" fillId="0" borderId="0" xfId="82" applyFont="1" applyAlignment="1">
      <alignment horizontal="left" vertical="top"/>
      <protection locked="0"/>
    </xf>
    <xf numFmtId="0" fontId="258" fillId="0" borderId="0" xfId="83" applyFont="1" applyAlignment="1" applyProtection="1">
      <alignment horizontal="right" vertical="center"/>
      <protection locked="0"/>
    </xf>
    <xf numFmtId="0" fontId="10" fillId="0" borderId="15" xfId="80" applyFont="1" applyBorder="1" applyAlignment="1">
      <alignment horizontal="left" wrapText="1"/>
      <protection locked="0"/>
    </xf>
    <xf numFmtId="39" fontId="10" fillId="0" borderId="15" xfId="80" applyNumberFormat="1" applyFont="1" applyBorder="1" applyAlignment="1">
      <alignment horizontal="center"/>
      <protection locked="0"/>
    </xf>
    <xf numFmtId="4" fontId="10" fillId="0" borderId="15" xfId="80" applyNumberFormat="1" applyFont="1" applyBorder="1" applyAlignment="1">
      <alignment horizontal="right"/>
      <protection locked="0"/>
    </xf>
    <xf numFmtId="0" fontId="232" fillId="0" borderId="0" xfId="80" applyFont="1" applyAlignment="1">
      <alignment horizontal="left" vertical="center"/>
      <protection locked="0"/>
    </xf>
    <xf numFmtId="0" fontId="33" fillId="0" borderId="0" xfId="80" applyAlignment="1" applyProtection="1"/>
    <xf numFmtId="0" fontId="84" fillId="0" borderId="0" xfId="80" applyFont="1" applyAlignment="1">
      <alignment horizontal="left" vertical="top"/>
      <protection locked="0"/>
    </xf>
    <xf numFmtId="0" fontId="55" fillId="0" borderId="0" xfId="82" applyFont="1" applyAlignment="1">
      <alignment horizontal="left" vertical="top"/>
      <protection locked="0"/>
    </xf>
    <xf numFmtId="0" fontId="99" fillId="0" borderId="0" xfId="28" applyFont="1" applyAlignment="1">
      <alignment horizontal="left" vertical="center"/>
      <protection locked="0"/>
    </xf>
    <xf numFmtId="0" fontId="10" fillId="0" borderId="0" xfId="28" applyFont="1" applyAlignment="1">
      <alignment horizontal="left" vertical="top"/>
      <protection locked="0"/>
    </xf>
    <xf numFmtId="0" fontId="64" fillId="0" borderId="0" xfId="44" applyFont="1" applyAlignment="1" applyProtection="1">
      <alignment horizontal="left" vertical="center"/>
    </xf>
    <xf numFmtId="0" fontId="13" fillId="0" borderId="0" xfId="44" applyAlignment="1" applyProtection="1">
      <alignment horizontal="left" vertical="top"/>
    </xf>
    <xf numFmtId="178" fontId="40" fillId="0" borderId="0" xfId="49" applyNumberFormat="1" applyAlignment="1" applyProtection="1">
      <alignment horizontal="left" vertical="top"/>
      <protection locked="0"/>
    </xf>
    <xf numFmtId="0" fontId="84" fillId="0" borderId="0" xfId="44" applyFont="1" applyAlignment="1" applyProtection="1">
      <alignment horizontal="left" vertical="center"/>
    </xf>
    <xf numFmtId="0" fontId="105" fillId="0" borderId="0" xfId="49" applyFont="1" applyAlignment="1" applyProtection="1">
      <alignment horizontal="left" vertical="top"/>
      <protection locked="0"/>
    </xf>
    <xf numFmtId="0" fontId="173" fillId="0" borderId="0" xfId="49" applyFont="1" applyAlignment="1">
      <alignment horizontal="left" vertical="center"/>
    </xf>
    <xf numFmtId="0" fontId="170" fillId="0" borderId="0" xfId="49" applyFont="1" applyAlignment="1" applyProtection="1">
      <alignment horizontal="left" vertical="center"/>
      <protection locked="0"/>
    </xf>
    <xf numFmtId="0" fontId="170" fillId="0" borderId="0" xfId="49" applyFont="1" applyAlignment="1" applyProtection="1">
      <alignment horizontal="left" vertical="top"/>
      <protection locked="0"/>
    </xf>
    <xf numFmtId="0" fontId="181" fillId="0" borderId="0" xfId="49" applyFont="1" applyAlignment="1" applyProtection="1">
      <alignment horizontal="left" vertical="top"/>
      <protection locked="0"/>
    </xf>
    <xf numFmtId="39" fontId="181" fillId="0" borderId="0" xfId="49" applyNumberFormat="1" applyFont="1" applyAlignment="1" applyProtection="1">
      <alignment horizontal="left" vertical="top"/>
      <protection locked="0"/>
    </xf>
    <xf numFmtId="0" fontId="181" fillId="0" borderId="0" xfId="53" applyFont="1" applyAlignment="1" applyProtection="1">
      <alignment horizontal="left" vertical="top"/>
      <protection locked="0"/>
    </xf>
    <xf numFmtId="0" fontId="74"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55" fillId="0" borderId="0" xfId="53" applyFont="1" applyAlignment="1" applyProtection="1">
      <alignment horizontal="left" vertical="top"/>
      <protection locked="0"/>
    </xf>
    <xf numFmtId="0" fontId="98" fillId="0" borderId="30" xfId="71" applyFont="1" applyBorder="1" applyAlignment="1" applyProtection="1">
      <alignment horizontal="left" wrapText="1"/>
      <protection locked="0"/>
    </xf>
    <xf numFmtId="0" fontId="71" fillId="0" borderId="0" xfId="58" applyFont="1" applyFill="1" applyAlignment="1" applyProtection="1">
      <alignment vertical="center"/>
    </xf>
    <xf numFmtId="0" fontId="123" fillId="0" borderId="0" xfId="60" applyFont="1" applyAlignment="1">
      <alignment horizontal="left" vertical="center"/>
      <protection locked="0"/>
    </xf>
    <xf numFmtId="0" fontId="39" fillId="0" borderId="0" xfId="60" applyFont="1" applyAlignment="1">
      <alignment horizontal="left" vertical="center"/>
      <protection locked="0"/>
    </xf>
    <xf numFmtId="0" fontId="265" fillId="0" borderId="0" xfId="84" applyFont="1" applyFill="1" applyAlignment="1" applyProtection="1">
      <alignment horizontal="left" vertical="top"/>
      <protection locked="0"/>
    </xf>
    <xf numFmtId="0" fontId="45" fillId="0" borderId="0" xfId="60" applyFont="1" applyAlignment="1">
      <alignment horizontal="left" vertical="center"/>
      <protection locked="0"/>
    </xf>
    <xf numFmtId="0" fontId="41" fillId="0" borderId="0" xfId="53" applyFont="1" applyAlignment="1" applyProtection="1">
      <alignment horizontal="left" vertical="center"/>
      <protection locked="0"/>
    </xf>
    <xf numFmtId="0" fontId="170" fillId="0" borderId="0" xfId="53" applyFont="1" applyAlignment="1" applyProtection="1">
      <alignment horizontal="left" vertical="top"/>
      <protection locked="0"/>
    </xf>
    <xf numFmtId="4" fontId="12" fillId="0" borderId="0" xfId="53" applyNumberFormat="1" applyAlignment="1" applyProtection="1">
      <alignment horizontal="right"/>
      <protection locked="0"/>
    </xf>
    <xf numFmtId="0" fontId="10" fillId="0" borderId="0" xfId="27" applyFont="1" applyAlignment="1">
      <alignment horizontal="left" vertical="top"/>
      <protection locked="0"/>
    </xf>
    <xf numFmtId="4" fontId="10" fillId="0" borderId="0" xfId="27" applyNumberFormat="1" applyFont="1" applyAlignment="1">
      <alignment horizontal="left" vertical="top"/>
      <protection locked="0"/>
    </xf>
    <xf numFmtId="0" fontId="13" fillId="7" borderId="0" xfId="40" applyFont="1" applyFill="1" applyAlignment="1">
      <alignment horizontal="left" vertical="top"/>
      <protection locked="0"/>
    </xf>
    <xf numFmtId="0" fontId="106" fillId="0" borderId="0" xfId="58" applyFont="1" applyFill="1" applyAlignment="1">
      <alignment horizontal="left" vertical="center"/>
      <protection locked="0"/>
    </xf>
    <xf numFmtId="171" fontId="102" fillId="0" borderId="0" xfId="58" applyNumberFormat="1" applyFont="1" applyFill="1" applyAlignment="1">
      <alignment horizontal="center" vertical="center"/>
      <protection locked="0"/>
    </xf>
    <xf numFmtId="0" fontId="102" fillId="0" borderId="0" xfId="58" applyFont="1" applyFill="1" applyAlignment="1">
      <alignment horizontal="center" vertical="center"/>
      <protection locked="0"/>
    </xf>
    <xf numFmtId="2" fontId="102" fillId="0" borderId="0" xfId="58" applyNumberFormat="1" applyFont="1" applyFill="1" applyAlignment="1">
      <alignment horizontal="center" vertical="center"/>
      <protection locked="0"/>
    </xf>
    <xf numFmtId="0" fontId="69" fillId="7" borderId="0" xfId="40" applyFill="1" applyAlignment="1">
      <alignment horizontal="left" vertical="top"/>
      <protection locked="0"/>
    </xf>
    <xf numFmtId="0" fontId="125" fillId="0" borderId="0" xfId="58" applyFill="1" applyAlignment="1" applyProtection="1">
      <alignment horizontal="left" vertical="center"/>
      <protection locked="0"/>
    </xf>
    <xf numFmtId="167" fontId="101" fillId="0" borderId="30" xfId="71" applyNumberFormat="1" applyFont="1" applyBorder="1" applyAlignment="1" applyProtection="1">
      <alignment horizontal="right"/>
      <protection locked="0"/>
    </xf>
    <xf numFmtId="0" fontId="96" fillId="0" borderId="0" xfId="83" applyFont="1" applyAlignment="1" applyProtection="1">
      <alignment horizontal="left" vertical="top"/>
      <protection locked="0"/>
    </xf>
    <xf numFmtId="0" fontId="13" fillId="0" borderId="0" xfId="83" applyFont="1" applyAlignment="1" applyProtection="1">
      <alignment horizontal="left" vertical="top"/>
      <protection locked="0"/>
    </xf>
    <xf numFmtId="0" fontId="13" fillId="7" borderId="0" xfId="83" applyFont="1" applyFill="1" applyAlignment="1" applyProtection="1">
      <alignment horizontal="left" vertical="top"/>
      <protection locked="0"/>
    </xf>
    <xf numFmtId="0" fontId="40" fillId="0" borderId="0" xfId="83" applyAlignment="1" applyProtection="1">
      <alignment horizontal="left" vertical="top"/>
      <protection locked="0"/>
    </xf>
    <xf numFmtId="0" fontId="54" fillId="0" borderId="0" xfId="82" applyFont="1" applyAlignment="1">
      <alignment horizontal="left" vertical="center"/>
      <protection locked="0"/>
    </xf>
    <xf numFmtId="0" fontId="55" fillId="0" borderId="0" xfId="40" applyFont="1" applyAlignment="1">
      <alignment horizontal="left" vertical="top"/>
      <protection locked="0"/>
    </xf>
    <xf numFmtId="0" fontId="185" fillId="0" borderId="0" xfId="40" applyFont="1" applyAlignment="1">
      <alignment horizontal="left" vertical="top"/>
      <protection locked="0"/>
    </xf>
    <xf numFmtId="0" fontId="159" fillId="0" borderId="0" xfId="40" applyFont="1" applyAlignment="1">
      <alignment horizontal="left" vertical="top"/>
      <protection locked="0"/>
    </xf>
    <xf numFmtId="0" fontId="267" fillId="0" borderId="0" xfId="40" applyFont="1" applyAlignment="1">
      <alignment horizontal="left" vertical="top"/>
      <protection locked="0"/>
    </xf>
    <xf numFmtId="0" fontId="268" fillId="0" borderId="0" xfId="40" applyFont="1" applyAlignment="1">
      <alignment horizontal="left" vertical="top"/>
      <protection locked="0"/>
    </xf>
    <xf numFmtId="0" fontId="41" fillId="0" borderId="0" xfId="31" applyFont="1" applyAlignment="1" applyProtection="1">
      <alignment horizontal="left" vertical="center"/>
      <protection locked="0"/>
    </xf>
    <xf numFmtId="6" fontId="13" fillId="0" borderId="0" xfId="44" applyNumberFormat="1" applyAlignment="1" applyProtection="1">
      <alignment horizontal="left" vertical="top"/>
    </xf>
    <xf numFmtId="0" fontId="40" fillId="0" borderId="0" xfId="49" applyAlignment="1" applyProtection="1">
      <alignment horizontal="right" vertical="top"/>
      <protection locked="0"/>
    </xf>
    <xf numFmtId="171" fontId="40" fillId="0" borderId="0" xfId="49" applyNumberFormat="1" applyAlignment="1" applyProtection="1">
      <alignment horizontal="left" vertical="center"/>
      <protection locked="0"/>
    </xf>
    <xf numFmtId="0" fontId="254" fillId="0" borderId="0" xfId="81" applyFill="1" applyAlignment="1">
      <alignment horizontal="left" vertical="center"/>
      <protection locked="0"/>
    </xf>
    <xf numFmtId="0" fontId="256" fillId="0" borderId="0" xfId="81" applyFont="1" applyFill="1" applyAlignment="1" applyProtection="1">
      <alignment horizontal="left" vertical="center"/>
      <protection locked="0"/>
    </xf>
    <xf numFmtId="0" fontId="254" fillId="0" borderId="0" xfId="81" applyFill="1" applyAlignment="1">
      <alignment horizontal="left" vertical="top"/>
      <protection locked="0"/>
    </xf>
    <xf numFmtId="0" fontId="37" fillId="7" borderId="0" xfId="85" applyFont="1" applyFill="1" applyAlignment="1">
      <alignment horizontal="left"/>
    </xf>
    <xf numFmtId="167" fontId="13" fillId="0" borderId="0" xfId="28" applyNumberFormat="1" applyAlignment="1" applyProtection="1">
      <alignment vertical="top"/>
    </xf>
    <xf numFmtId="0" fontId="39" fillId="0" borderId="0" xfId="0" applyFont="1" applyAlignment="1" applyProtection="1">
      <alignment horizontal="left"/>
    </xf>
    <xf numFmtId="0" fontId="10" fillId="0" borderId="0" xfId="0" applyFont="1" applyAlignment="1" applyProtection="1">
      <alignment horizontal="left"/>
    </xf>
    <xf numFmtId="167" fontId="38" fillId="0" borderId="0" xfId="0" applyNumberFormat="1" applyFont="1" applyAlignment="1" applyProtection="1">
      <alignment horizontal="left"/>
    </xf>
    <xf numFmtId="4" fontId="38" fillId="0" borderId="0" xfId="0" applyNumberFormat="1" applyFont="1" applyAlignment="1" applyProtection="1">
      <alignment horizontal="left"/>
    </xf>
    <xf numFmtId="4" fontId="0" fillId="0" borderId="0" xfId="0" applyNumberFormat="1" applyAlignment="1">
      <alignment horizontal="left" vertical="top"/>
      <protection locked="0"/>
    </xf>
    <xf numFmtId="0" fontId="47" fillId="0" borderId="31" xfId="0" applyFont="1" applyBorder="1" applyAlignment="1" applyProtection="1">
      <alignment horizontal="center" vertical="center" wrapText="1"/>
    </xf>
    <xf numFmtId="49" fontId="47" fillId="0" borderId="31" xfId="0" applyNumberFormat="1" applyFont="1" applyBorder="1" applyAlignment="1" applyProtection="1">
      <alignment horizontal="center" vertical="center" wrapText="1"/>
    </xf>
    <xf numFmtId="167" fontId="47" fillId="0" borderId="31" xfId="0" applyNumberFormat="1" applyFont="1" applyBorder="1" applyAlignment="1" applyProtection="1">
      <alignment horizontal="center" vertical="center" wrapText="1"/>
    </xf>
    <xf numFmtId="4" fontId="47"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9" fillId="0" borderId="29" xfId="0" applyNumberFormat="1" applyFont="1" applyBorder="1" applyAlignment="1">
      <alignment horizontal="right"/>
      <protection locked="0"/>
    </xf>
    <xf numFmtId="49" fontId="39" fillId="0" borderId="29" xfId="0" applyNumberFormat="1" applyFont="1" applyBorder="1" applyAlignment="1">
      <alignment horizontal="left" wrapText="1"/>
      <protection locked="0"/>
    </xf>
    <xf numFmtId="0" fontId="39" fillId="0" borderId="29" xfId="0" applyFont="1" applyBorder="1" applyAlignment="1">
      <alignment horizontal="left" wrapText="1"/>
      <protection locked="0"/>
    </xf>
    <xf numFmtId="0" fontId="39" fillId="0" borderId="0" xfId="0" applyFont="1" applyAlignment="1">
      <alignment horizontal="left" wrapText="1"/>
      <protection locked="0"/>
    </xf>
    <xf numFmtId="167" fontId="39" fillId="0" borderId="29" xfId="0" applyNumberFormat="1" applyFont="1" applyBorder="1" applyAlignment="1">
      <alignment horizontal="right"/>
      <protection locked="0"/>
    </xf>
    <xf numFmtId="4" fontId="39" fillId="0" borderId="29" xfId="0" applyNumberFormat="1" applyFont="1" applyBorder="1" applyAlignment="1">
      <alignment horizontal="right"/>
      <protection locked="0"/>
    </xf>
    <xf numFmtId="0" fontId="39" fillId="0" borderId="15" xfId="0" applyFont="1" applyBorder="1" applyAlignment="1">
      <alignment horizontal="left" wrapText="1"/>
      <protection locked="0"/>
    </xf>
    <xf numFmtId="0" fontId="0" fillId="0" borderId="15" xfId="0" applyBorder="1" applyAlignment="1">
      <alignment horizontal="left" vertical="top"/>
      <protection locked="0"/>
    </xf>
    <xf numFmtId="0" fontId="55" fillId="0" borderId="0" xfId="0" applyFont="1" applyAlignment="1">
      <alignment horizontal="left" vertical="top"/>
      <protection locked="0"/>
    </xf>
    <xf numFmtId="0" fontId="10" fillId="0" borderId="15" xfId="0" applyFont="1" applyBorder="1" applyAlignment="1">
      <alignment horizontal="left" wrapText="1"/>
      <protection locked="0"/>
    </xf>
    <xf numFmtId="39" fontId="10" fillId="0" borderId="15" xfId="0" applyNumberFormat="1" applyFont="1" applyBorder="1" applyAlignment="1">
      <alignment horizontal="center"/>
      <protection locked="0"/>
    </xf>
    <xf numFmtId="49" fontId="39" fillId="0" borderId="15" xfId="0" applyNumberFormat="1" applyFont="1" applyBorder="1" applyAlignment="1">
      <alignment horizontal="left" wrapText="1"/>
      <protection locked="0"/>
    </xf>
    <xf numFmtId="0" fontId="30" fillId="0" borderId="15" xfId="0" applyFont="1" applyBorder="1" applyAlignment="1">
      <alignment horizontal="left" wrapText="1"/>
      <protection locked="0"/>
    </xf>
    <xf numFmtId="167" fontId="30" fillId="0" borderId="15" xfId="0" applyNumberFormat="1" applyFont="1" applyBorder="1" applyAlignment="1">
      <alignment horizontal="right"/>
      <protection locked="0"/>
    </xf>
    <xf numFmtId="0" fontId="83" fillId="0" borderId="0" xfId="86" applyFont="1" applyFill="1" applyAlignment="1" applyProtection="1">
      <alignment horizontal="right" vertical="center"/>
      <protection locked="0"/>
    </xf>
    <xf numFmtId="0" fontId="96" fillId="0" borderId="0" xfId="0" applyFont="1" applyAlignment="1">
      <alignment horizontal="left"/>
      <protection locked="0"/>
    </xf>
    <xf numFmtId="39" fontId="10" fillId="0" borderId="15" xfId="0" applyNumberFormat="1" applyFont="1" applyBorder="1" applyAlignment="1">
      <alignment horizontal="right"/>
      <protection locked="0"/>
    </xf>
    <xf numFmtId="4" fontId="10" fillId="0" borderId="0" xfId="0" applyNumberFormat="1" applyFont="1" applyAlignment="1">
      <alignment horizontal="right"/>
      <protection locked="0"/>
    </xf>
    <xf numFmtId="1" fontId="10" fillId="0" borderId="15" xfId="0" applyNumberFormat="1" applyFont="1" applyBorder="1" applyAlignment="1">
      <alignment horizontal="right"/>
      <protection locked="0"/>
    </xf>
    <xf numFmtId="0" fontId="55" fillId="0" borderId="0" xfId="80" applyFont="1" applyAlignment="1">
      <alignment horizontal="left" vertical="top"/>
      <protection locked="0"/>
    </xf>
    <xf numFmtId="0" fontId="254" fillId="0" borderId="0" xfId="81" applyFill="1" applyAlignment="1" applyProtection="1"/>
    <xf numFmtId="167" fontId="0" fillId="0" borderId="0" xfId="0" applyNumberFormat="1" applyAlignment="1" applyProtection="1"/>
    <xf numFmtId="0" fontId="83" fillId="0" borderId="0" xfId="80" applyFont="1" applyAlignment="1">
      <alignment horizontal="left" vertical="center"/>
      <protection locked="0"/>
    </xf>
    <xf numFmtId="37" fontId="88" fillId="7" borderId="0" xfId="0" applyNumberFormat="1" applyFont="1" applyFill="1" applyAlignment="1">
      <alignment horizontal="right"/>
      <protection locked="0"/>
    </xf>
    <xf numFmtId="0" fontId="88" fillId="7" borderId="0" xfId="0" applyFont="1" applyFill="1" applyAlignment="1">
      <alignment horizontal="left" wrapText="1"/>
      <protection locked="0"/>
    </xf>
    <xf numFmtId="167" fontId="88" fillId="7" borderId="0" xfId="0" applyNumberFormat="1" applyFont="1" applyFill="1" applyAlignment="1">
      <alignment horizontal="right"/>
      <protection locked="0"/>
    </xf>
    <xf numFmtId="4" fontId="88" fillId="7" borderId="0" xfId="0" applyNumberFormat="1" applyFont="1" applyFill="1" applyAlignment="1">
      <alignment horizontal="right"/>
      <protection locked="0"/>
    </xf>
    <xf numFmtId="0" fontId="39" fillId="0" borderId="32" xfId="0" applyFont="1" applyBorder="1" applyAlignment="1">
      <alignment horizontal="left"/>
      <protection locked="0"/>
    </xf>
    <xf numFmtId="0" fontId="68" fillId="0" borderId="33" xfId="0" applyFont="1" applyBorder="1" applyAlignment="1">
      <alignment horizontal="center"/>
      <protection locked="0"/>
    </xf>
    <xf numFmtId="167" fontId="68" fillId="0" borderId="33" xfId="0" applyNumberFormat="1" applyFont="1" applyBorder="1" applyAlignment="1">
      <alignment horizontal="right"/>
      <protection locked="0"/>
    </xf>
    <xf numFmtId="4" fontId="10" fillId="0" borderId="33" xfId="0" applyNumberFormat="1" applyFont="1" applyBorder="1" applyAlignment="1">
      <alignment horizontal="right"/>
      <protection locked="0"/>
    </xf>
    <xf numFmtId="39" fontId="50" fillId="0" borderId="0" xfId="0" applyNumberFormat="1" applyFont="1" applyAlignment="1">
      <alignment horizontal="center"/>
      <protection locked="0"/>
    </xf>
    <xf numFmtId="0" fontId="96" fillId="7" borderId="0" xfId="0" applyFont="1" applyFill="1" applyAlignment="1">
      <alignment horizontal="left" vertical="top"/>
      <protection locked="0"/>
    </xf>
    <xf numFmtId="167" fontId="11" fillId="0" borderId="0" xfId="21" applyNumberFormat="1" applyFont="1" applyAlignment="1">
      <alignment vertical="center"/>
    </xf>
    <xf numFmtId="4" fontId="11" fillId="0" borderId="0" xfId="21" applyNumberFormat="1" applyFont="1" applyAlignment="1">
      <alignment vertical="center"/>
    </xf>
    <xf numFmtId="4" fontId="11" fillId="0" borderId="0" xfId="21" applyNumberFormat="1" applyFont="1" applyAlignment="1">
      <alignment horizontal="center" vertical="center" wrapText="1"/>
    </xf>
    <xf numFmtId="0" fontId="277" fillId="0" borderId="0" xfId="0" applyFont="1" applyAlignment="1">
      <alignment horizontal="left" wrapText="1"/>
      <protection locked="0"/>
    </xf>
    <xf numFmtId="0" fontId="68" fillId="0" borderId="0" xfId="0" applyFont="1" applyAlignment="1">
      <alignment horizontal="left" wrapText="1"/>
      <protection locked="0"/>
    </xf>
    <xf numFmtId="167" fontId="10"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1" fillId="0" borderId="0" xfId="88" applyFont="1" applyFill="1" applyAlignment="1" applyProtection="1">
      <alignment horizontal="left" vertical="center"/>
      <protection locked="0"/>
    </xf>
    <xf numFmtId="0" fontId="278" fillId="0" borderId="0" xfId="88" applyFill="1" applyAlignment="1" applyProtection="1">
      <alignment horizontal="left" vertical="center"/>
      <protection locked="0"/>
    </xf>
    <xf numFmtId="0" fontId="254" fillId="0" borderId="0" xfId="81" applyFill="1" applyAlignment="1">
      <alignment vertical="top"/>
      <protection locked="0"/>
    </xf>
    <xf numFmtId="4" fontId="254" fillId="0" borderId="0" xfId="81" applyNumberFormat="1" applyFill="1" applyAlignment="1" applyProtection="1">
      <alignment horizontal="left" vertical="top"/>
      <protection locked="0"/>
    </xf>
    <xf numFmtId="0" fontId="254" fillId="0" borderId="0" xfId="81" applyFill="1" applyAlignment="1" applyProtection="1">
      <alignment horizontal="left" vertical="top"/>
      <protection locked="0"/>
    </xf>
    <xf numFmtId="0" fontId="38" fillId="0" borderId="0" xfId="0" applyFont="1" applyAlignment="1" applyProtection="1">
      <alignment horizontal="left"/>
    </xf>
    <xf numFmtId="0" fontId="282" fillId="0" borderId="0" xfId="81" applyFont="1" applyFill="1" applyBorder="1" applyAlignment="1" applyProtection="1">
      <alignment horizontal="left" vertical="center"/>
    </xf>
    <xf numFmtId="37" fontId="39" fillId="7" borderId="0" xfId="0" applyNumberFormat="1" applyFont="1" applyFill="1" applyAlignment="1">
      <alignment horizontal="right"/>
      <protection locked="0"/>
    </xf>
    <xf numFmtId="0" fontId="39" fillId="7" borderId="0" xfId="0" applyFont="1" applyFill="1" applyAlignment="1">
      <alignment horizontal="left" wrapText="1"/>
      <protection locked="0"/>
    </xf>
    <xf numFmtId="170" fontId="39" fillId="7" borderId="0" xfId="0" applyNumberFormat="1" applyFont="1" applyFill="1" applyAlignment="1">
      <alignment horizontal="right"/>
      <protection locked="0"/>
    </xf>
    <xf numFmtId="39" fontId="39" fillId="7" borderId="0" xfId="0" applyNumberFormat="1" applyFont="1" applyFill="1" applyAlignment="1">
      <alignment horizontal="right"/>
      <protection locked="0"/>
    </xf>
    <xf numFmtId="2" fontId="39" fillId="0" borderId="30" xfId="0" applyNumberFormat="1" applyFont="1" applyBorder="1" applyAlignment="1">
      <alignment horizontal="right"/>
      <protection locked="0"/>
    </xf>
    <xf numFmtId="0" fontId="30" fillId="0" borderId="30" xfId="13" applyFont="1" applyBorder="1" applyAlignment="1">
      <alignment horizontal="left" vertical="center" wrapText="1"/>
      <protection locked="0"/>
    </xf>
    <xf numFmtId="0" fontId="13" fillId="7" borderId="0" xfId="0" applyFont="1" applyFill="1" applyAlignment="1">
      <alignment horizontal="left" vertical="top"/>
      <protection locked="0"/>
    </xf>
    <xf numFmtId="0" fontId="74" fillId="0" borderId="30" xfId="13" applyFont="1" applyBorder="1" applyAlignment="1">
      <alignment horizontal="left" wrapText="1"/>
      <protection locked="0"/>
    </xf>
    <xf numFmtId="0" fontId="30" fillId="0" borderId="30" xfId="13" applyFont="1" applyBorder="1" applyAlignment="1">
      <alignment horizontal="left" wrapText="1"/>
      <protection locked="0"/>
    </xf>
    <xf numFmtId="0" fontId="30" fillId="0" borderId="30" xfId="0" quotePrefix="1" applyFont="1" applyBorder="1" applyAlignment="1" applyProtection="1">
      <alignment horizontal="left" wrapText="1"/>
    </xf>
    <xf numFmtId="0" fontId="0" fillId="10" borderId="0" xfId="0" applyFill="1" applyAlignment="1" applyProtection="1"/>
    <xf numFmtId="0" fontId="85" fillId="0" borderId="30" xfId="0" applyFont="1" applyBorder="1" applyAlignment="1">
      <alignment horizontal="center" vertical="center" wrapText="1"/>
      <protection locked="0"/>
    </xf>
    <xf numFmtId="167" fontId="96" fillId="0" borderId="0" xfId="0" applyNumberFormat="1" applyFont="1" applyAlignment="1">
      <alignment horizontal="left" vertical="top"/>
      <protection locked="0"/>
    </xf>
    <xf numFmtId="2" fontId="254" fillId="0" borderId="0" xfId="81" applyNumberFormat="1" applyFill="1" applyAlignment="1">
      <alignment horizontal="left" vertical="center"/>
      <protection locked="0"/>
    </xf>
    <xf numFmtId="0" fontId="230" fillId="0" borderId="30" xfId="0" applyFont="1" applyBorder="1" applyAlignment="1">
      <alignment horizontal="left" wrapText="1"/>
      <protection locked="0"/>
    </xf>
    <xf numFmtId="0" fontId="10" fillId="0" borderId="30" xfId="68" applyFont="1" applyBorder="1" applyAlignment="1">
      <alignment horizontal="left" wrapText="1"/>
      <protection locked="0"/>
    </xf>
    <xf numFmtId="0" fontId="30" fillId="0" borderId="30" xfId="68" applyFont="1" applyBorder="1" applyAlignment="1">
      <alignment horizontal="left" wrapText="1"/>
      <protection locked="0"/>
    </xf>
    <xf numFmtId="167" fontId="30" fillId="0" borderId="30" xfId="68" applyNumberFormat="1" applyFont="1" applyBorder="1" applyAlignment="1">
      <alignment horizontal="right"/>
      <protection locked="0"/>
    </xf>
    <xf numFmtId="39" fontId="10" fillId="0" borderId="30" xfId="68" applyNumberFormat="1" applyFont="1" applyBorder="1" applyAlignment="1">
      <alignment horizontal="center"/>
      <protection locked="0"/>
    </xf>
    <xf numFmtId="0" fontId="254" fillId="0" borderId="0" xfId="81" applyFill="1" applyAlignment="1" applyProtection="1">
      <alignment horizontal="left" vertical="center"/>
      <protection locked="0"/>
    </xf>
    <xf numFmtId="167" fontId="98" fillId="0" borderId="30" xfId="0" applyNumberFormat="1" applyFont="1" applyBorder="1" applyAlignment="1">
      <alignment horizontal="right"/>
      <protection locked="0"/>
    </xf>
    <xf numFmtId="0" fontId="254" fillId="0" borderId="0" xfId="81" applyFill="1" applyAlignment="1" applyProtection="1">
      <alignment vertical="center"/>
    </xf>
    <xf numFmtId="0" fontId="55" fillId="0" borderId="0" xfId="30" applyFont="1" applyAlignment="1" applyProtection="1">
      <alignment horizontal="left" vertical="top"/>
      <protection locked="0"/>
    </xf>
    <xf numFmtId="0" fontId="96" fillId="7" borderId="0" xfId="0" applyFont="1" applyFill="1" applyAlignment="1">
      <alignment horizontal="left"/>
      <protection locked="0"/>
    </xf>
    <xf numFmtId="0" fontId="96" fillId="0" borderId="0" xfId="28" applyFont="1" applyAlignment="1">
      <alignment horizontal="left" vertical="top"/>
      <protection locked="0"/>
    </xf>
    <xf numFmtId="37" fontId="10" fillId="0" borderId="15" xfId="0" applyNumberFormat="1" applyFont="1" applyBorder="1" applyAlignment="1">
      <alignment horizontal="right"/>
      <protection locked="0"/>
    </xf>
    <xf numFmtId="1" fontId="10" fillId="0" borderId="15" xfId="68" applyNumberFormat="1" applyFont="1" applyBorder="1" applyAlignment="1">
      <alignment horizontal="right"/>
      <protection locked="0"/>
    </xf>
    <xf numFmtId="0" fontId="10" fillId="0" borderId="15" xfId="68" applyFont="1" applyBorder="1" applyAlignment="1">
      <alignment horizontal="left" wrapText="1"/>
      <protection locked="0"/>
    </xf>
    <xf numFmtId="0" fontId="69" fillId="0" borderId="0" xfId="68" applyAlignment="1">
      <alignment horizontal="left" vertical="top"/>
      <protection locked="0"/>
    </xf>
    <xf numFmtId="0" fontId="30" fillId="0" borderId="15" xfId="68" applyFont="1" applyBorder="1" applyAlignment="1">
      <alignment horizontal="left" wrapText="1"/>
      <protection locked="0"/>
    </xf>
    <xf numFmtId="167" fontId="30" fillId="0" borderId="15" xfId="68" applyNumberFormat="1" applyFont="1" applyBorder="1" applyAlignment="1">
      <alignment horizontal="right"/>
      <protection locked="0"/>
    </xf>
    <xf numFmtId="4" fontId="10" fillId="0" borderId="15" xfId="68" applyNumberFormat="1" applyFont="1" applyBorder="1" applyAlignment="1">
      <alignment horizontal="right"/>
      <protection locked="0"/>
    </xf>
    <xf numFmtId="1" fontId="39" fillId="0" borderId="15" xfId="68" applyNumberFormat="1" applyFont="1" applyBorder="1" applyAlignment="1">
      <alignment horizontal="right"/>
      <protection locked="0"/>
    </xf>
    <xf numFmtId="49" fontId="39" fillId="0" borderId="15" xfId="68" applyNumberFormat="1" applyFont="1" applyBorder="1" applyAlignment="1">
      <alignment horizontal="left" wrapText="1"/>
      <protection locked="0"/>
    </xf>
    <xf numFmtId="0" fontId="39" fillId="0" borderId="15" xfId="68" applyFont="1" applyBorder="1" applyAlignment="1">
      <alignment horizontal="left" wrapText="1"/>
      <protection locked="0"/>
    </xf>
    <xf numFmtId="167" fontId="69" fillId="0" borderId="0" xfId="68" applyNumberFormat="1" applyAlignment="1">
      <alignment horizontal="left" vertical="top"/>
      <protection locked="0"/>
    </xf>
    <xf numFmtId="4" fontId="124" fillId="0" borderId="15" xfId="68" applyNumberFormat="1" applyFont="1" applyBorder="1" applyAlignment="1">
      <alignment horizontal="right"/>
      <protection locked="0"/>
    </xf>
    <xf numFmtId="4" fontId="39" fillId="0" borderId="15" xfId="68" applyNumberFormat="1" applyFont="1" applyBorder="1" applyAlignment="1">
      <alignment horizontal="right"/>
      <protection locked="0"/>
    </xf>
    <xf numFmtId="9" fontId="68" fillId="0" borderId="30" xfId="0" applyNumberFormat="1" applyFont="1" applyBorder="1" applyAlignment="1">
      <alignment horizontal="left" wrapText="1"/>
      <protection locked="0"/>
    </xf>
    <xf numFmtId="37" fontId="39" fillId="0" borderId="15" xfId="0" applyNumberFormat="1" applyFont="1" applyBorder="1" applyAlignment="1">
      <alignment horizontal="right"/>
      <protection locked="0"/>
    </xf>
    <xf numFmtId="2" fontId="39" fillId="0" borderId="15" xfId="0" applyNumberFormat="1" applyFont="1" applyBorder="1" applyAlignment="1">
      <alignment horizontal="right"/>
      <protection locked="0"/>
    </xf>
    <xf numFmtId="0" fontId="105" fillId="0" borderId="0" xfId="81" applyFont="1" applyFill="1" applyAlignment="1" applyProtection="1">
      <alignment horizontal="left" vertical="center"/>
      <protection locked="0"/>
    </xf>
    <xf numFmtId="2" fontId="98" fillId="0" borderId="30" xfId="0" applyNumberFormat="1" applyFont="1" applyBorder="1" applyAlignment="1">
      <alignment horizontal="left" wrapText="1"/>
      <protection locked="0"/>
    </xf>
    <xf numFmtId="37" fontId="88" fillId="0" borderId="0" xfId="0" applyNumberFormat="1" applyFont="1" applyAlignment="1" applyProtection="1">
      <alignment horizontal="right"/>
    </xf>
    <xf numFmtId="0" fontId="88" fillId="0" borderId="0" xfId="0" applyFont="1" applyAlignment="1" applyProtection="1">
      <alignment horizontal="left" wrapText="1"/>
    </xf>
    <xf numFmtId="170" fontId="88" fillId="0" borderId="0" xfId="0" applyNumberFormat="1" applyFont="1" applyAlignment="1" applyProtection="1">
      <alignment horizontal="right"/>
    </xf>
    <xf numFmtId="39" fontId="88" fillId="0" borderId="0" xfId="0" applyNumberFormat="1" applyFont="1" applyAlignment="1" applyProtection="1">
      <alignment horizontal="right"/>
    </xf>
    <xf numFmtId="37" fontId="10" fillId="0" borderId="21" xfId="0" applyNumberFormat="1" applyFont="1" applyBorder="1" applyAlignment="1" applyProtection="1">
      <alignment horizontal="right"/>
    </xf>
    <xf numFmtId="0" fontId="10" fillId="0" borderId="21" xfId="0" applyFont="1" applyBorder="1" applyAlignment="1" applyProtection="1">
      <alignment horizontal="left" wrapText="1"/>
    </xf>
    <xf numFmtId="0" fontId="10" fillId="0" borderId="21" xfId="0" applyFont="1" applyBorder="1" applyAlignment="1" applyProtection="1">
      <alignment horizontal="center" wrapText="1"/>
    </xf>
    <xf numFmtId="170" fontId="10" fillId="0" borderId="21" xfId="0" applyNumberFormat="1" applyFont="1" applyBorder="1" applyAlignment="1" applyProtection="1">
      <alignment horizontal="right"/>
    </xf>
    <xf numFmtId="39" fontId="10" fillId="0" borderId="21" xfId="0" applyNumberFormat="1" applyFont="1" applyBorder="1" applyAlignment="1" applyProtection="1">
      <alignment horizontal="right"/>
    </xf>
    <xf numFmtId="0" fontId="89" fillId="0" borderId="0" xfId="0" applyFont="1" applyAlignment="1" applyProtection="1">
      <alignment horizontal="left" vertical="top"/>
    </xf>
    <xf numFmtId="0" fontId="39" fillId="0" borderId="32" xfId="0" applyFont="1" applyBorder="1" applyAlignment="1" applyProtection="1">
      <alignment horizontal="left"/>
    </xf>
    <xf numFmtId="0" fontId="68" fillId="0" borderId="33" xfId="0" applyFont="1" applyBorder="1" applyAlignment="1" applyProtection="1">
      <alignment horizontal="center"/>
    </xf>
    <xf numFmtId="170" fontId="68" fillId="0" borderId="33" xfId="0" applyNumberFormat="1" applyFont="1" applyBorder="1" applyAlignment="1" applyProtection="1">
      <alignment horizontal="right"/>
    </xf>
    <xf numFmtId="39" fontId="10" fillId="0" borderId="33" xfId="0" applyNumberFormat="1" applyFont="1" applyBorder="1" applyAlignment="1" applyProtection="1">
      <alignment horizontal="right"/>
    </xf>
    <xf numFmtId="39" fontId="50" fillId="0" borderId="0" xfId="0" applyNumberFormat="1" applyFont="1" applyAlignment="1" applyProtection="1">
      <alignment horizontal="center"/>
    </xf>
    <xf numFmtId="37" fontId="68" fillId="0" borderId="0" xfId="0" applyNumberFormat="1" applyFont="1" applyAlignment="1" applyProtection="1">
      <alignment horizontal="right"/>
    </xf>
    <xf numFmtId="0" fontId="68" fillId="0" borderId="0" xfId="0" applyFont="1" applyAlignment="1" applyProtection="1">
      <alignment horizontal="left" wrapText="1"/>
    </xf>
    <xf numFmtId="0" fontId="10" fillId="0" borderId="0" xfId="0" applyFont="1" applyAlignment="1" applyProtection="1">
      <alignment horizontal="left" wrapText="1"/>
    </xf>
    <xf numFmtId="0" fontId="68" fillId="0" borderId="0" xfId="0" applyFont="1" applyAlignment="1" applyProtection="1">
      <alignment horizontal="center" wrapText="1"/>
    </xf>
    <xf numFmtId="170" fontId="68" fillId="0" borderId="0" xfId="0" applyNumberFormat="1" applyFont="1" applyAlignment="1" applyProtection="1">
      <alignment horizontal="right"/>
    </xf>
    <xf numFmtId="39" fontId="68" fillId="0" borderId="0" xfId="0" applyNumberFormat="1" applyFont="1" applyAlignment="1" applyProtection="1">
      <alignment horizontal="right"/>
    </xf>
    <xf numFmtId="39" fontId="10" fillId="0" borderId="0" xfId="0" applyNumberFormat="1" applyFont="1" applyAlignment="1" applyProtection="1">
      <alignment horizontal="right"/>
    </xf>
    <xf numFmtId="0" fontId="13" fillId="0" borderId="0" xfId="0" applyFont="1" applyAlignment="1">
      <alignment vertical="center" wrapText="1"/>
      <protection locked="0"/>
    </xf>
    <xf numFmtId="37" fontId="98" fillId="0" borderId="0" xfId="0" applyNumberFormat="1" applyFont="1" applyAlignment="1">
      <alignment horizontal="right"/>
      <protection locked="0"/>
    </xf>
    <xf numFmtId="4" fontId="139" fillId="0" borderId="30" xfId="0" applyNumberFormat="1" applyFont="1" applyBorder="1" applyAlignment="1">
      <alignment horizontal="right"/>
      <protection locked="0"/>
    </xf>
    <xf numFmtId="39" fontId="39" fillId="0" borderId="15" xfId="0" applyNumberFormat="1" applyFont="1" applyBorder="1" applyAlignment="1">
      <alignment horizontal="right"/>
      <protection locked="0"/>
    </xf>
    <xf numFmtId="2" fontId="30" fillId="0" borderId="15" xfId="0" applyNumberFormat="1" applyFont="1" applyBorder="1" applyAlignment="1">
      <alignment horizontal="right"/>
      <protection locked="0"/>
    </xf>
    <xf numFmtId="0" fontId="9" fillId="0" borderId="0" xfId="85"/>
    <xf numFmtId="0" fontId="39" fillId="0" borderId="0" xfId="85" applyFont="1" applyAlignment="1">
      <alignment horizontal="left"/>
    </xf>
    <xf numFmtId="0" fontId="10" fillId="0" borderId="0" xfId="85" applyFont="1" applyAlignment="1">
      <alignment horizontal="left"/>
    </xf>
    <xf numFmtId="0" fontId="38" fillId="0" borderId="0" xfId="85" applyFont="1" applyAlignment="1">
      <alignment horizontal="left"/>
    </xf>
    <xf numFmtId="0" fontId="9" fillId="0" borderId="0" xfId="85" applyAlignment="1" applyProtection="1">
      <alignment horizontal="left" vertical="top"/>
      <protection locked="0"/>
    </xf>
    <xf numFmtId="2" fontId="47" fillId="0" borderId="31" xfId="0" applyNumberFormat="1" applyFont="1" applyBorder="1" applyAlignment="1" applyProtection="1">
      <alignment horizontal="center" vertical="center" wrapText="1"/>
    </xf>
    <xf numFmtId="37" fontId="39" fillId="0" borderId="29" xfId="0" applyNumberFormat="1" applyFont="1" applyBorder="1" applyAlignment="1">
      <alignment horizontal="right"/>
      <protection locked="0"/>
    </xf>
    <xf numFmtId="2" fontId="39" fillId="0" borderId="29" xfId="0" applyNumberFormat="1" applyFont="1" applyBorder="1" applyAlignment="1">
      <alignment horizontal="right"/>
      <protection locked="0"/>
    </xf>
    <xf numFmtId="171" fontId="39" fillId="0" borderId="29" xfId="0" applyNumberFormat="1" applyFont="1" applyBorder="1" applyAlignment="1">
      <alignment horizontal="right"/>
      <protection locked="0"/>
    </xf>
    <xf numFmtId="0" fontId="178" fillId="0" borderId="0" xfId="67" applyFill="1" applyAlignment="1">
      <alignment horizontal="left" vertical="top"/>
      <protection locked="0"/>
    </xf>
    <xf numFmtId="170" fontId="88" fillId="7" borderId="0" xfId="0" applyNumberFormat="1" applyFont="1" applyFill="1" applyAlignment="1">
      <alignment horizontal="right"/>
      <protection locked="0"/>
    </xf>
    <xf numFmtId="171" fontId="88" fillId="7" borderId="0" xfId="0" applyNumberFormat="1" applyFont="1" applyFill="1" applyAlignment="1">
      <alignment horizontal="right"/>
      <protection locked="0"/>
    </xf>
    <xf numFmtId="171" fontId="88"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8" fillId="0" borderId="33" xfId="0" applyNumberFormat="1" applyFont="1" applyBorder="1" applyAlignment="1">
      <alignment horizontal="right"/>
      <protection locked="0"/>
    </xf>
    <xf numFmtId="171" fontId="10" fillId="0" borderId="33" xfId="0" applyNumberFormat="1" applyFont="1" applyBorder="1" applyAlignment="1">
      <alignment horizontal="right"/>
      <protection locked="0"/>
    </xf>
    <xf numFmtId="2" fontId="11" fillId="0" borderId="0" xfId="21" applyNumberFormat="1" applyFont="1" applyAlignment="1">
      <alignment vertical="center"/>
    </xf>
    <xf numFmtId="2" fontId="0" fillId="0" borderId="0" xfId="0" applyNumberFormat="1" applyAlignment="1">
      <alignment vertical="top"/>
      <protection locked="0"/>
    </xf>
    <xf numFmtId="0" fontId="40" fillId="0" borderId="0" xfId="63" applyAlignment="1" applyProtection="1">
      <alignment horizontal="left" vertical="top"/>
      <protection locked="0"/>
    </xf>
    <xf numFmtId="0" fontId="37" fillId="0" borderId="0" xfId="85" applyFont="1" applyAlignment="1">
      <alignment horizontal="left"/>
    </xf>
    <xf numFmtId="37" fontId="68" fillId="0" borderId="0" xfId="0" applyNumberFormat="1" applyFont="1" applyAlignment="1">
      <alignment horizontal="right"/>
      <protection locked="0"/>
    </xf>
    <xf numFmtId="0" fontId="88" fillId="0" borderId="0" xfId="0" applyFont="1" applyAlignment="1">
      <alignment horizontal="left" wrapText="1"/>
      <protection locked="0"/>
    </xf>
    <xf numFmtId="170" fontId="88" fillId="0" borderId="0" xfId="0" applyNumberFormat="1" applyFont="1" applyAlignment="1">
      <alignment horizontal="right"/>
      <protection locked="0"/>
    </xf>
    <xf numFmtId="167" fontId="38" fillId="0" borderId="0" xfId="71" applyNumberFormat="1" applyFont="1" applyAlignment="1">
      <alignment horizontal="left"/>
    </xf>
    <xf numFmtId="167" fontId="47" fillId="0" borderId="31" xfId="71" applyNumberFormat="1" applyFont="1" applyBorder="1" applyAlignment="1">
      <alignment horizontal="center" vertical="center" wrapText="1"/>
    </xf>
    <xf numFmtId="0" fontId="293" fillId="0" borderId="0" xfId="51" applyFont="1" applyFill="1" applyBorder="1" applyAlignment="1" applyProtection="1">
      <alignment vertical="center"/>
    </xf>
    <xf numFmtId="167" fontId="39" fillId="0" borderId="30" xfId="71" applyNumberFormat="1" applyFont="1" applyBorder="1" applyAlignment="1">
      <alignment horizontal="right"/>
    </xf>
    <xf numFmtId="0" fontId="125" fillId="0" borderId="0" xfId="51" applyFill="1" applyBorder="1" applyAlignment="1" applyProtection="1">
      <alignment horizontal="left" vertical="top"/>
      <protection locked="0"/>
    </xf>
    <xf numFmtId="175" fontId="45" fillId="0" borderId="0" xfId="51" applyNumberFormat="1" applyFont="1" applyFill="1" applyBorder="1" applyAlignment="1">
      <alignment horizontal="center" vertical="center"/>
      <protection locked="0"/>
    </xf>
    <xf numFmtId="0" fontId="295" fillId="0" borderId="30" xfId="71" applyFont="1" applyBorder="1" applyAlignment="1" applyProtection="1">
      <alignment horizontal="right" vertical="center"/>
      <protection locked="0"/>
    </xf>
    <xf numFmtId="37" fontId="10" fillId="0" borderId="70" xfId="71" applyNumberFormat="1" applyFont="1" applyBorder="1" applyAlignment="1" applyProtection="1">
      <alignment horizontal="right"/>
      <protection locked="0"/>
    </xf>
    <xf numFmtId="0" fontId="10" fillId="0" borderId="71" xfId="71" applyFont="1" applyBorder="1" applyAlignment="1" applyProtection="1">
      <alignment horizontal="left" wrapText="1"/>
      <protection locked="0"/>
    </xf>
    <xf numFmtId="0" fontId="10" fillId="0" borderId="70" xfId="71" applyFont="1" applyBorder="1" applyAlignment="1" applyProtection="1">
      <alignment horizontal="left" wrapText="1"/>
      <protection locked="0"/>
    </xf>
    <xf numFmtId="39" fontId="10" fillId="0" borderId="70" xfId="71" applyNumberFormat="1" applyFont="1" applyBorder="1" applyAlignment="1" applyProtection="1">
      <alignment horizontal="right"/>
      <protection locked="0"/>
    </xf>
    <xf numFmtId="39" fontId="10" fillId="0" borderId="71" xfId="3" applyNumberFormat="1" applyFont="1" applyBorder="1" applyAlignment="1" applyProtection="1">
      <alignment horizontal="center"/>
      <protection locked="0"/>
    </xf>
    <xf numFmtId="0" fontId="18" fillId="0" borderId="39" xfId="51" applyFont="1" applyFill="1" applyBorder="1" applyAlignment="1">
      <alignment horizontal="right" vertical="center"/>
      <protection locked="0"/>
    </xf>
    <xf numFmtId="37" fontId="68" fillId="0" borderId="72" xfId="71" applyNumberFormat="1" applyFont="1" applyBorder="1" applyAlignment="1" applyProtection="1">
      <alignment horizontal="right"/>
      <protection locked="0"/>
    </xf>
    <xf numFmtId="0" fontId="68" fillId="0" borderId="72" xfId="71" applyFont="1" applyBorder="1" applyAlignment="1" applyProtection="1">
      <alignment horizontal="left" wrapText="1"/>
      <protection locked="0"/>
    </xf>
    <xf numFmtId="0" fontId="30" fillId="0" borderId="72" xfId="71" applyFont="1" applyBorder="1" applyAlignment="1" applyProtection="1">
      <alignment horizontal="left" wrapText="1"/>
      <protection locked="0"/>
    </xf>
    <xf numFmtId="167" fontId="30" fillId="0" borderId="72" xfId="71" applyNumberFormat="1" applyFont="1" applyBorder="1" applyAlignment="1" applyProtection="1">
      <alignment horizontal="right"/>
      <protection locked="0"/>
    </xf>
    <xf numFmtId="39" fontId="68" fillId="0" borderId="72" xfId="71" applyNumberFormat="1" applyFont="1" applyBorder="1" applyAlignment="1" applyProtection="1">
      <alignment horizontal="right"/>
      <protection locked="0"/>
    </xf>
    <xf numFmtId="0" fontId="41" fillId="0" borderId="72" xfId="71" applyFont="1" applyBorder="1" applyAlignment="1" applyProtection="1">
      <alignment horizontal="center" vertical="center"/>
      <protection locked="0"/>
    </xf>
    <xf numFmtId="0" fontId="18" fillId="0" borderId="0" xfId="51" applyFont="1" applyFill="1" applyBorder="1" applyAlignment="1">
      <alignment horizontal="right" vertical="center"/>
      <protection locked="0"/>
    </xf>
    <xf numFmtId="0" fontId="125" fillId="0" borderId="0" xfId="51" applyFill="1" applyBorder="1" applyAlignment="1" applyProtection="1">
      <alignment horizontal="left" vertical="center"/>
      <protection locked="0"/>
    </xf>
    <xf numFmtId="2" fontId="37" fillId="0" borderId="72" xfId="71" applyNumberFormat="1" applyFont="1" applyBorder="1" applyAlignment="1" applyProtection="1">
      <alignment horizontal="left" vertical="center"/>
      <protection locked="0"/>
    </xf>
    <xf numFmtId="0" fontId="9" fillId="0" borderId="72" xfId="71" applyBorder="1" applyAlignment="1" applyProtection="1">
      <alignment horizontal="left" vertical="top"/>
      <protection locked="0"/>
    </xf>
    <xf numFmtId="37" fontId="10" fillId="0" borderId="73" xfId="71" applyNumberFormat="1" applyFont="1" applyBorder="1" applyAlignment="1" applyProtection="1">
      <alignment horizontal="right"/>
      <protection locked="0"/>
    </xf>
    <xf numFmtId="0" fontId="10" fillId="0" borderId="74" xfId="71" applyFont="1" applyBorder="1" applyAlignment="1" applyProtection="1">
      <alignment horizontal="left" wrapText="1"/>
      <protection locked="0"/>
    </xf>
    <xf numFmtId="0" fontId="10" fillId="0" borderId="73" xfId="71" applyFont="1" applyBorder="1" applyAlignment="1" applyProtection="1">
      <alignment horizontal="left" wrapText="1"/>
      <protection locked="0"/>
    </xf>
    <xf numFmtId="167" fontId="10" fillId="0" borderId="75" xfId="71" applyNumberFormat="1" applyFont="1" applyBorder="1" applyAlignment="1" applyProtection="1">
      <alignment horizontal="right"/>
      <protection locked="0"/>
    </xf>
    <xf numFmtId="39" fontId="10" fillId="0" borderId="73" xfId="71" applyNumberFormat="1" applyFont="1" applyBorder="1" applyAlignment="1" applyProtection="1">
      <alignment horizontal="right"/>
      <protection locked="0"/>
    </xf>
    <xf numFmtId="39" fontId="10" fillId="0" borderId="74" xfId="3" applyNumberFormat="1" applyFont="1" applyBorder="1" applyAlignment="1" applyProtection="1">
      <alignment horizontal="center"/>
      <protection locked="0"/>
    </xf>
    <xf numFmtId="37" fontId="68" fillId="0" borderId="76" xfId="71" applyNumberFormat="1" applyFont="1" applyBorder="1" applyAlignment="1" applyProtection="1">
      <alignment horizontal="right"/>
      <protection locked="0"/>
    </xf>
    <xf numFmtId="0" fontId="68" fillId="0" borderId="76" xfId="71" applyFont="1" applyBorder="1" applyAlignment="1" applyProtection="1">
      <alignment horizontal="left" wrapText="1"/>
      <protection locked="0"/>
    </xf>
    <xf numFmtId="0" fontId="30" fillId="0" borderId="76" xfId="71" applyFont="1" applyBorder="1" applyAlignment="1" applyProtection="1">
      <alignment horizontal="left" wrapText="1"/>
      <protection locked="0"/>
    </xf>
    <xf numFmtId="167" fontId="30" fillId="0" borderId="76" xfId="71" applyNumberFormat="1" applyFont="1" applyBorder="1" applyAlignment="1" applyProtection="1">
      <alignment horizontal="right"/>
      <protection locked="0"/>
    </xf>
    <xf numFmtId="39" fontId="68" fillId="0" borderId="76" xfId="71" applyNumberFormat="1" applyFont="1" applyBorder="1" applyAlignment="1" applyProtection="1">
      <alignment horizontal="right"/>
      <protection locked="0"/>
    </xf>
    <xf numFmtId="0" fontId="41" fillId="0" borderId="76" xfId="71" applyFont="1" applyBorder="1" applyAlignment="1" applyProtection="1">
      <alignment horizontal="center" vertical="center"/>
      <protection locked="0"/>
    </xf>
    <xf numFmtId="2" fontId="37" fillId="0" borderId="76" xfId="71" applyNumberFormat="1" applyFont="1" applyBorder="1" applyAlignment="1" applyProtection="1">
      <alignment horizontal="left" vertical="center"/>
      <protection locked="0"/>
    </xf>
    <xf numFmtId="0" fontId="9" fillId="0" borderId="76" xfId="71" applyBorder="1" applyAlignment="1" applyProtection="1">
      <alignment horizontal="left" vertical="top"/>
      <protection locked="0"/>
    </xf>
    <xf numFmtId="37" fontId="10" fillId="0" borderId="77" xfId="71" applyNumberFormat="1" applyFont="1" applyBorder="1" applyAlignment="1" applyProtection="1">
      <alignment horizontal="right"/>
      <protection locked="0"/>
    </xf>
    <xf numFmtId="0" fontId="10" fillId="0" borderId="78" xfId="71" applyFont="1" applyBorder="1" applyAlignment="1" applyProtection="1">
      <alignment horizontal="left" wrapText="1"/>
      <protection locked="0"/>
    </xf>
    <xf numFmtId="0" fontId="10" fillId="0" borderId="77" xfId="71" applyFont="1" applyBorder="1" applyAlignment="1" applyProtection="1">
      <alignment horizontal="left" wrapText="1"/>
      <protection locked="0"/>
    </xf>
    <xf numFmtId="167" fontId="10" fillId="0" borderId="79" xfId="71" applyNumberFormat="1" applyFont="1" applyBorder="1" applyAlignment="1" applyProtection="1">
      <alignment horizontal="right"/>
      <protection locked="0"/>
    </xf>
    <xf numFmtId="39" fontId="10" fillId="0" borderId="77" xfId="71" applyNumberFormat="1" applyFont="1" applyBorder="1" applyAlignment="1" applyProtection="1">
      <alignment horizontal="right"/>
      <protection locked="0"/>
    </xf>
    <xf numFmtId="39" fontId="10" fillId="0" borderId="78" xfId="3" applyNumberFormat="1" applyFont="1" applyBorder="1" applyAlignment="1" applyProtection="1">
      <alignment horizontal="center"/>
      <protection locked="0"/>
    </xf>
    <xf numFmtId="37" fontId="68" fillId="0" borderId="80" xfId="71" applyNumberFormat="1" applyFont="1" applyBorder="1" applyAlignment="1" applyProtection="1">
      <alignment horizontal="right"/>
      <protection locked="0"/>
    </xf>
    <xf numFmtId="0" fontId="68" fillId="0" borderId="80" xfId="71" applyFont="1" applyBorder="1" applyAlignment="1" applyProtection="1">
      <alignment horizontal="left" wrapText="1"/>
      <protection locked="0"/>
    </xf>
    <xf numFmtId="0" fontId="30" fillId="0" borderId="80" xfId="71" applyFont="1" applyBorder="1" applyAlignment="1" applyProtection="1">
      <alignment horizontal="left" wrapText="1"/>
      <protection locked="0"/>
    </xf>
    <xf numFmtId="167" fontId="30" fillId="0" borderId="80" xfId="71" applyNumberFormat="1" applyFont="1" applyBorder="1" applyAlignment="1" applyProtection="1">
      <alignment horizontal="right"/>
      <protection locked="0"/>
    </xf>
    <xf numFmtId="39" fontId="68" fillId="0" borderId="80" xfId="71" applyNumberFormat="1" applyFont="1" applyBorder="1" applyAlignment="1" applyProtection="1">
      <alignment horizontal="right"/>
      <protection locked="0"/>
    </xf>
    <xf numFmtId="39" fontId="10" fillId="0" borderId="80" xfId="71" applyNumberFormat="1" applyFont="1" applyBorder="1" applyAlignment="1" applyProtection="1">
      <alignment horizontal="right"/>
      <protection locked="0"/>
    </xf>
    <xf numFmtId="0" fontId="41" fillId="0" borderId="80" xfId="71" applyFont="1" applyBorder="1" applyAlignment="1" applyProtection="1">
      <alignment horizontal="center" vertical="center"/>
      <protection locked="0"/>
    </xf>
    <xf numFmtId="2" fontId="37" fillId="0" borderId="80" xfId="71" applyNumberFormat="1" applyFont="1" applyBorder="1" applyAlignment="1" applyProtection="1">
      <alignment horizontal="left" vertical="center"/>
      <protection locked="0"/>
    </xf>
    <xf numFmtId="0" fontId="9" fillId="0" borderId="80" xfId="71" applyBorder="1" applyAlignment="1" applyProtection="1">
      <alignment horizontal="left" vertical="top"/>
      <protection locked="0"/>
    </xf>
    <xf numFmtId="37" fontId="10" fillId="0" borderId="81" xfId="71" applyNumberFormat="1" applyFont="1" applyBorder="1" applyAlignment="1" applyProtection="1">
      <alignment horizontal="right"/>
      <protection locked="0"/>
    </xf>
    <xf numFmtId="0" fontId="10" fillId="0" borderId="82" xfId="71" applyFont="1" applyBorder="1" applyAlignment="1" applyProtection="1">
      <alignment horizontal="left" wrapText="1"/>
      <protection locked="0"/>
    </xf>
    <xf numFmtId="0" fontId="10" fillId="0" borderId="81" xfId="71" applyFont="1" applyBorder="1" applyAlignment="1" applyProtection="1">
      <alignment horizontal="left" wrapText="1"/>
      <protection locked="0"/>
    </xf>
    <xf numFmtId="167" fontId="10" fillId="0" borderId="83" xfId="71" applyNumberFormat="1" applyFont="1" applyBorder="1" applyAlignment="1" applyProtection="1">
      <alignment horizontal="right"/>
      <protection locked="0"/>
    </xf>
    <xf numFmtId="39" fontId="10" fillId="0" borderId="81" xfId="71" applyNumberFormat="1" applyFont="1" applyBorder="1" applyAlignment="1" applyProtection="1">
      <alignment horizontal="right"/>
      <protection locked="0"/>
    </xf>
    <xf numFmtId="39" fontId="10" fillId="0" borderId="82" xfId="3" applyNumberFormat="1" applyFont="1" applyBorder="1" applyAlignment="1" applyProtection="1">
      <alignment horizontal="center"/>
      <protection locked="0"/>
    </xf>
    <xf numFmtId="37" fontId="68" fillId="0" borderId="84" xfId="71" applyNumberFormat="1" applyFont="1" applyBorder="1" applyAlignment="1" applyProtection="1">
      <alignment horizontal="right"/>
      <protection locked="0"/>
    </xf>
    <xf numFmtId="0" fontId="68" fillId="0" borderId="84" xfId="71" applyFont="1" applyBorder="1" applyAlignment="1" applyProtection="1">
      <alignment horizontal="left" wrapText="1"/>
      <protection locked="0"/>
    </xf>
    <xf numFmtId="0" fontId="30" fillId="0" borderId="84" xfId="71" applyFont="1" applyBorder="1" applyAlignment="1" applyProtection="1">
      <alignment horizontal="left" wrapText="1"/>
      <protection locked="0"/>
    </xf>
    <xf numFmtId="167" fontId="30" fillId="0" borderId="84" xfId="71" applyNumberFormat="1" applyFont="1" applyBorder="1" applyAlignment="1" applyProtection="1">
      <alignment horizontal="right"/>
      <protection locked="0"/>
    </xf>
    <xf numFmtId="39" fontId="68" fillId="0" borderId="84" xfId="71" applyNumberFormat="1" applyFont="1" applyBorder="1" applyAlignment="1" applyProtection="1">
      <alignment horizontal="right"/>
      <protection locked="0"/>
    </xf>
    <xf numFmtId="0" fontId="41" fillId="0" borderId="84" xfId="71" applyFont="1" applyBorder="1" applyAlignment="1" applyProtection="1">
      <alignment horizontal="center" vertical="center"/>
      <protection locked="0"/>
    </xf>
    <xf numFmtId="2" fontId="37" fillId="0" borderId="84" xfId="71" applyNumberFormat="1" applyFont="1" applyBorder="1" applyAlignment="1" applyProtection="1">
      <alignment horizontal="left" vertical="center"/>
      <protection locked="0"/>
    </xf>
    <xf numFmtId="0" fontId="9" fillId="0" borderId="84" xfId="71" applyBorder="1" applyAlignment="1" applyProtection="1">
      <alignment horizontal="left" vertical="top"/>
      <protection locked="0"/>
    </xf>
    <xf numFmtId="37" fontId="10" fillId="0" borderId="85" xfId="71" applyNumberFormat="1" applyFont="1" applyBorder="1" applyAlignment="1" applyProtection="1">
      <alignment horizontal="right"/>
      <protection locked="0"/>
    </xf>
    <xf numFmtId="0" fontId="10" fillId="0" borderId="86" xfId="71" applyFont="1" applyBorder="1" applyAlignment="1" applyProtection="1">
      <alignment horizontal="left" wrapText="1"/>
      <protection locked="0"/>
    </xf>
    <xf numFmtId="0" fontId="10" fillId="0" borderId="85" xfId="71" applyFont="1" applyBorder="1" applyAlignment="1" applyProtection="1">
      <alignment horizontal="left" wrapText="1"/>
      <protection locked="0"/>
    </xf>
    <xf numFmtId="167" fontId="10" fillId="0" borderId="87" xfId="71" applyNumberFormat="1" applyFont="1" applyBorder="1" applyAlignment="1" applyProtection="1">
      <alignment horizontal="right"/>
      <protection locked="0"/>
    </xf>
    <xf numFmtId="39" fontId="10" fillId="0" borderId="85" xfId="71" applyNumberFormat="1" applyFont="1" applyBorder="1" applyAlignment="1" applyProtection="1">
      <alignment horizontal="right"/>
      <protection locked="0"/>
    </xf>
    <xf numFmtId="39" fontId="10" fillId="0" borderId="86" xfId="3" applyNumberFormat="1" applyFont="1" applyBorder="1" applyAlignment="1" applyProtection="1">
      <alignment horizontal="center"/>
      <protection locked="0"/>
    </xf>
    <xf numFmtId="37" fontId="68" fillId="0" borderId="88" xfId="71" applyNumberFormat="1" applyFont="1" applyBorder="1" applyAlignment="1" applyProtection="1">
      <alignment horizontal="right"/>
      <protection locked="0"/>
    </xf>
    <xf numFmtId="0" fontId="68" fillId="0" borderId="88" xfId="71" applyFont="1" applyBorder="1" applyAlignment="1" applyProtection="1">
      <alignment horizontal="left" wrapText="1"/>
      <protection locked="0"/>
    </xf>
    <xf numFmtId="0" fontId="30" fillId="0" borderId="88" xfId="71" applyFont="1" applyBorder="1" applyAlignment="1" applyProtection="1">
      <alignment horizontal="left" wrapText="1"/>
      <protection locked="0"/>
    </xf>
    <xf numFmtId="167" fontId="30" fillId="0" borderId="88" xfId="71" applyNumberFormat="1" applyFont="1" applyBorder="1" applyAlignment="1" applyProtection="1">
      <alignment horizontal="right"/>
      <protection locked="0"/>
    </xf>
    <xf numFmtId="39" fontId="68" fillId="0" borderId="88" xfId="71" applyNumberFormat="1" applyFont="1" applyBorder="1" applyAlignment="1" applyProtection="1">
      <alignment horizontal="right"/>
      <protection locked="0"/>
    </xf>
    <xf numFmtId="0" fontId="41" fillId="0" borderId="88" xfId="71" applyFont="1" applyBorder="1" applyAlignment="1" applyProtection="1">
      <alignment horizontal="center" vertical="center"/>
      <protection locked="0"/>
    </xf>
    <xf numFmtId="2" fontId="37" fillId="0" borderId="88" xfId="71" applyNumberFormat="1" applyFont="1" applyBorder="1" applyAlignment="1" applyProtection="1">
      <alignment horizontal="left" vertical="center"/>
      <protection locked="0"/>
    </xf>
    <xf numFmtId="0" fontId="9" fillId="0" borderId="88" xfId="71" applyBorder="1" applyAlignment="1" applyProtection="1">
      <alignment horizontal="left" vertical="top"/>
      <protection locked="0"/>
    </xf>
    <xf numFmtId="37" fontId="10" fillId="0" borderId="89" xfId="71" applyNumberFormat="1" applyFont="1" applyBorder="1" applyAlignment="1" applyProtection="1">
      <alignment horizontal="right"/>
      <protection locked="0"/>
    </xf>
    <xf numFmtId="0" fontId="10" fillId="0" borderId="90" xfId="71" applyFont="1" applyBorder="1" applyAlignment="1" applyProtection="1">
      <alignment horizontal="left" wrapText="1"/>
      <protection locked="0"/>
    </xf>
    <xf numFmtId="0" fontId="10" fillId="0" borderId="89" xfId="71" applyFont="1" applyBorder="1" applyAlignment="1" applyProtection="1">
      <alignment horizontal="left" wrapText="1"/>
      <protection locked="0"/>
    </xf>
    <xf numFmtId="167" fontId="10" fillId="0" borderId="91" xfId="71" applyNumberFormat="1" applyFont="1" applyBorder="1" applyAlignment="1" applyProtection="1">
      <alignment horizontal="right"/>
      <protection locked="0"/>
    </xf>
    <xf numFmtId="39" fontId="10" fillId="0" borderId="89" xfId="71" applyNumberFormat="1" applyFont="1" applyBorder="1" applyAlignment="1" applyProtection="1">
      <alignment horizontal="right"/>
      <protection locked="0"/>
    </xf>
    <xf numFmtId="39" fontId="10" fillId="0" borderId="90" xfId="3" applyNumberFormat="1" applyFont="1" applyBorder="1" applyAlignment="1" applyProtection="1">
      <alignment horizontal="center"/>
      <protection locked="0"/>
    </xf>
    <xf numFmtId="37" fontId="68" fillId="0" borderId="92" xfId="71" applyNumberFormat="1" applyFont="1" applyBorder="1" applyAlignment="1" applyProtection="1">
      <alignment horizontal="right"/>
      <protection locked="0"/>
    </xf>
    <xf numFmtId="0" fontId="68" fillId="0" borderId="92" xfId="71" applyFont="1" applyBorder="1" applyAlignment="1" applyProtection="1">
      <alignment horizontal="left" wrapText="1"/>
      <protection locked="0"/>
    </xf>
    <xf numFmtId="0" fontId="30" fillId="0" borderId="92" xfId="71" applyFont="1" applyBorder="1" applyAlignment="1" applyProtection="1">
      <alignment horizontal="left" wrapText="1"/>
      <protection locked="0"/>
    </xf>
    <xf numFmtId="167" fontId="30" fillId="0" borderId="92" xfId="71" applyNumberFormat="1" applyFont="1" applyBorder="1" applyAlignment="1" applyProtection="1">
      <alignment horizontal="right"/>
      <protection locked="0"/>
    </xf>
    <xf numFmtId="39" fontId="68" fillId="0" borderId="92" xfId="71" applyNumberFormat="1" applyFont="1" applyBorder="1" applyAlignment="1" applyProtection="1">
      <alignment horizontal="right"/>
      <protection locked="0"/>
    </xf>
    <xf numFmtId="0" fontId="41" fillId="0" borderId="92" xfId="71" applyFont="1" applyBorder="1" applyAlignment="1" applyProtection="1">
      <alignment horizontal="center" vertical="center"/>
      <protection locked="0"/>
    </xf>
    <xf numFmtId="2" fontId="37" fillId="0" borderId="92" xfId="71" applyNumberFormat="1" applyFont="1" applyBorder="1" applyAlignment="1" applyProtection="1">
      <alignment horizontal="left" vertical="center"/>
      <protection locked="0"/>
    </xf>
    <xf numFmtId="0" fontId="9" fillId="0" borderId="92" xfId="71" applyBorder="1" applyAlignment="1" applyProtection="1">
      <alignment horizontal="left" vertical="top"/>
      <protection locked="0"/>
    </xf>
    <xf numFmtId="37" fontId="10" fillId="0" borderId="93" xfId="71" applyNumberFormat="1" applyFont="1" applyBorder="1" applyAlignment="1" applyProtection="1">
      <alignment horizontal="right"/>
      <protection locked="0"/>
    </xf>
    <xf numFmtId="0" fontId="10" fillId="0" borderId="94" xfId="71" applyFont="1" applyBorder="1" applyAlignment="1" applyProtection="1">
      <alignment horizontal="left" wrapText="1"/>
      <protection locked="0"/>
    </xf>
    <xf numFmtId="0" fontId="10" fillId="0" borderId="93" xfId="71" applyFont="1" applyBorder="1" applyAlignment="1" applyProtection="1">
      <alignment horizontal="left" wrapText="1"/>
      <protection locked="0"/>
    </xf>
    <xf numFmtId="167" fontId="10" fillId="0" borderId="95" xfId="71" applyNumberFormat="1" applyFont="1" applyBorder="1" applyAlignment="1" applyProtection="1">
      <alignment horizontal="right"/>
      <protection locked="0"/>
    </xf>
    <xf numFmtId="39" fontId="10" fillId="0" borderId="93" xfId="71" applyNumberFormat="1" applyFont="1" applyBorder="1" applyAlignment="1" applyProtection="1">
      <alignment horizontal="right"/>
      <protection locked="0"/>
    </xf>
    <xf numFmtId="39" fontId="10" fillId="0" borderId="94" xfId="3" applyNumberFormat="1" applyFont="1" applyBorder="1" applyAlignment="1" applyProtection="1">
      <alignment horizontal="center"/>
      <protection locked="0"/>
    </xf>
    <xf numFmtId="37" fontId="68" fillId="0" borderId="96" xfId="71" applyNumberFormat="1" applyFont="1" applyBorder="1" applyAlignment="1" applyProtection="1">
      <alignment horizontal="right"/>
      <protection locked="0"/>
    </xf>
    <xf numFmtId="0" fontId="68" fillId="0" borderId="96" xfId="71" applyFont="1" applyBorder="1" applyAlignment="1" applyProtection="1">
      <alignment horizontal="left" wrapText="1"/>
      <protection locked="0"/>
    </xf>
    <xf numFmtId="0" fontId="30" fillId="0" borderId="96" xfId="71" applyFont="1" applyBorder="1" applyAlignment="1" applyProtection="1">
      <alignment horizontal="left" wrapText="1"/>
      <protection locked="0"/>
    </xf>
    <xf numFmtId="167" fontId="30" fillId="0" borderId="96" xfId="71" applyNumberFormat="1" applyFont="1" applyBorder="1" applyAlignment="1" applyProtection="1">
      <alignment horizontal="right"/>
      <protection locked="0"/>
    </xf>
    <xf numFmtId="39" fontId="68" fillId="0" borderId="96" xfId="71" applyNumberFormat="1" applyFont="1" applyBorder="1" applyAlignment="1" applyProtection="1">
      <alignment horizontal="right"/>
      <protection locked="0"/>
    </xf>
    <xf numFmtId="0" fontId="41" fillId="0" borderId="96" xfId="71" applyFont="1" applyBorder="1" applyAlignment="1" applyProtection="1">
      <alignment horizontal="center" vertical="center"/>
      <protection locked="0"/>
    </xf>
    <xf numFmtId="2" fontId="37" fillId="0" borderId="96" xfId="71" applyNumberFormat="1" applyFont="1" applyBorder="1" applyAlignment="1" applyProtection="1">
      <alignment horizontal="left" vertical="center"/>
      <protection locked="0"/>
    </xf>
    <xf numFmtId="0" fontId="9" fillId="0" borderId="96" xfId="71" applyBorder="1" applyAlignment="1" applyProtection="1">
      <alignment horizontal="left" vertical="top"/>
      <protection locked="0"/>
    </xf>
    <xf numFmtId="37" fontId="10" fillId="0" borderId="97" xfId="71" applyNumberFormat="1" applyFont="1" applyBorder="1" applyAlignment="1" applyProtection="1">
      <alignment horizontal="right"/>
      <protection locked="0"/>
    </xf>
    <xf numFmtId="0" fontId="10" fillId="0" borderId="98" xfId="71" applyFont="1" applyBorder="1" applyAlignment="1" applyProtection="1">
      <alignment horizontal="left" wrapText="1"/>
      <protection locked="0"/>
    </xf>
    <xf numFmtId="0" fontId="10" fillId="0" borderId="97" xfId="71" applyFont="1" applyBorder="1" applyAlignment="1" applyProtection="1">
      <alignment horizontal="left" wrapText="1"/>
      <protection locked="0"/>
    </xf>
    <xf numFmtId="167" fontId="10" fillId="0" borderId="99" xfId="71" applyNumberFormat="1" applyFont="1" applyBorder="1" applyAlignment="1" applyProtection="1">
      <alignment horizontal="right"/>
      <protection locked="0"/>
    </xf>
    <xf numFmtId="39" fontId="10" fillId="0" borderId="97" xfId="71" applyNumberFormat="1" applyFont="1" applyBorder="1" applyAlignment="1" applyProtection="1">
      <alignment horizontal="right"/>
      <protection locked="0"/>
    </xf>
    <xf numFmtId="39" fontId="10" fillId="0" borderId="98" xfId="3" applyNumberFormat="1" applyFont="1" applyBorder="1" applyAlignment="1" applyProtection="1">
      <alignment horizontal="center"/>
      <protection locked="0"/>
    </xf>
    <xf numFmtId="37" fontId="68" fillId="0" borderId="100" xfId="71" applyNumberFormat="1" applyFont="1" applyBorder="1" applyAlignment="1" applyProtection="1">
      <alignment horizontal="right"/>
      <protection locked="0"/>
    </xf>
    <xf numFmtId="0" fontId="68" fillId="0" borderId="100" xfId="71" applyFont="1" applyBorder="1" applyAlignment="1" applyProtection="1">
      <alignment horizontal="left" wrapText="1"/>
      <protection locked="0"/>
    </xf>
    <xf numFmtId="0" fontId="30" fillId="0" borderId="100" xfId="71" applyFont="1" applyBorder="1" applyAlignment="1" applyProtection="1">
      <alignment horizontal="left" wrapText="1"/>
      <protection locked="0"/>
    </xf>
    <xf numFmtId="167" fontId="30" fillId="0" borderId="100" xfId="71" applyNumberFormat="1" applyFont="1" applyBorder="1" applyAlignment="1" applyProtection="1">
      <alignment horizontal="right"/>
      <protection locked="0"/>
    </xf>
    <xf numFmtId="39" fontId="68" fillId="0" borderId="100" xfId="71" applyNumberFormat="1" applyFont="1" applyBorder="1" applyAlignment="1" applyProtection="1">
      <alignment horizontal="right"/>
      <protection locked="0"/>
    </xf>
    <xf numFmtId="0" fontId="41" fillId="0" borderId="100" xfId="71" applyFont="1" applyBorder="1" applyAlignment="1" applyProtection="1">
      <alignment horizontal="center" vertical="center"/>
      <protection locked="0"/>
    </xf>
    <xf numFmtId="2" fontId="37" fillId="0" borderId="100" xfId="71" applyNumberFormat="1" applyFont="1" applyBorder="1" applyAlignment="1" applyProtection="1">
      <alignment horizontal="left" vertical="center"/>
      <protection locked="0"/>
    </xf>
    <xf numFmtId="0" fontId="9" fillId="0" borderId="100" xfId="71" applyBorder="1" applyAlignment="1" applyProtection="1">
      <alignment horizontal="left" vertical="top"/>
      <protection locked="0"/>
    </xf>
    <xf numFmtId="37" fontId="10" fillId="0" borderId="101" xfId="71" applyNumberFormat="1" applyFont="1" applyBorder="1" applyAlignment="1" applyProtection="1">
      <alignment horizontal="right"/>
      <protection locked="0"/>
    </xf>
    <xf numFmtId="0" fontId="10" fillId="0" borderId="102" xfId="71" applyFont="1" applyBorder="1" applyAlignment="1" applyProtection="1">
      <alignment horizontal="left" wrapText="1"/>
      <protection locked="0"/>
    </xf>
    <xf numFmtId="0" fontId="10" fillId="0" borderId="101" xfId="71" applyFont="1" applyBorder="1" applyAlignment="1" applyProtection="1">
      <alignment horizontal="left" wrapText="1"/>
      <protection locked="0"/>
    </xf>
    <xf numFmtId="167" fontId="10" fillId="0" borderId="103" xfId="71" applyNumberFormat="1" applyFont="1" applyBorder="1" applyAlignment="1" applyProtection="1">
      <alignment horizontal="right"/>
      <protection locked="0"/>
    </xf>
    <xf numFmtId="39" fontId="10" fillId="0" borderId="101" xfId="71" applyNumberFormat="1" applyFont="1" applyBorder="1" applyAlignment="1" applyProtection="1">
      <alignment horizontal="right"/>
      <protection locked="0"/>
    </xf>
    <xf numFmtId="39" fontId="10" fillId="0" borderId="102" xfId="3" applyNumberFormat="1" applyFont="1" applyBorder="1" applyAlignment="1" applyProtection="1">
      <alignment horizontal="center"/>
      <protection locked="0"/>
    </xf>
    <xf numFmtId="37" fontId="68" fillId="0" borderId="104" xfId="71" applyNumberFormat="1" applyFont="1" applyBorder="1" applyAlignment="1" applyProtection="1">
      <alignment horizontal="right"/>
      <protection locked="0"/>
    </xf>
    <xf numFmtId="0" fontId="68" fillId="0" borderId="104" xfId="71" applyFont="1" applyBorder="1" applyAlignment="1" applyProtection="1">
      <alignment horizontal="left" wrapText="1"/>
      <protection locked="0"/>
    </xf>
    <xf numFmtId="0" fontId="30" fillId="0" borderId="104" xfId="71" applyFont="1" applyBorder="1" applyAlignment="1" applyProtection="1">
      <alignment horizontal="left" wrapText="1"/>
      <protection locked="0"/>
    </xf>
    <xf numFmtId="167" fontId="30" fillId="0" borderId="104" xfId="71" applyNumberFormat="1" applyFont="1" applyBorder="1" applyAlignment="1" applyProtection="1">
      <alignment horizontal="right"/>
      <protection locked="0"/>
    </xf>
    <xf numFmtId="39" fontId="68" fillId="0" borderId="104" xfId="71" applyNumberFormat="1" applyFont="1" applyBorder="1" applyAlignment="1" applyProtection="1">
      <alignment horizontal="right"/>
      <protection locked="0"/>
    </xf>
    <xf numFmtId="0" fontId="41" fillId="0" borderId="104" xfId="71" applyFont="1" applyBorder="1" applyAlignment="1" applyProtection="1">
      <alignment horizontal="center" vertical="center"/>
      <protection locked="0"/>
    </xf>
    <xf numFmtId="2" fontId="37" fillId="0" borderId="104" xfId="71" applyNumberFormat="1" applyFont="1" applyBorder="1" applyAlignment="1" applyProtection="1">
      <alignment horizontal="left" vertical="center"/>
      <protection locked="0"/>
    </xf>
    <xf numFmtId="0" fontId="9" fillId="0" borderId="104" xfId="71" applyBorder="1" applyAlignment="1" applyProtection="1">
      <alignment horizontal="left" vertical="top"/>
      <protection locked="0"/>
    </xf>
    <xf numFmtId="37" fontId="10" fillId="0" borderId="105" xfId="71" applyNumberFormat="1" applyFont="1" applyBorder="1" applyAlignment="1" applyProtection="1">
      <alignment horizontal="right"/>
      <protection locked="0"/>
    </xf>
    <xf numFmtId="0" fontId="10" fillId="0" borderId="106" xfId="71" applyFont="1" applyBorder="1" applyAlignment="1" applyProtection="1">
      <alignment horizontal="left" wrapText="1"/>
      <protection locked="0"/>
    </xf>
    <xf numFmtId="0" fontId="10" fillId="0" borderId="105" xfId="71" applyFont="1" applyBorder="1" applyAlignment="1" applyProtection="1">
      <alignment horizontal="left" wrapText="1"/>
      <protection locked="0"/>
    </xf>
    <xf numFmtId="167" fontId="10" fillId="0" borderId="107" xfId="71" applyNumberFormat="1" applyFont="1" applyBorder="1" applyAlignment="1" applyProtection="1">
      <alignment horizontal="right"/>
      <protection locked="0"/>
    </xf>
    <xf numFmtId="39" fontId="10" fillId="0" borderId="105" xfId="71" applyNumberFormat="1" applyFont="1" applyBorder="1" applyAlignment="1" applyProtection="1">
      <alignment horizontal="right"/>
      <protection locked="0"/>
    </xf>
    <xf numFmtId="39" fontId="10" fillId="0" borderId="106" xfId="3" applyNumberFormat="1" applyFont="1" applyBorder="1" applyAlignment="1" applyProtection="1">
      <alignment horizontal="center"/>
      <protection locked="0"/>
    </xf>
    <xf numFmtId="37" fontId="68" fillId="0" borderId="108" xfId="71" applyNumberFormat="1" applyFont="1" applyBorder="1" applyAlignment="1" applyProtection="1">
      <alignment horizontal="right"/>
      <protection locked="0"/>
    </xf>
    <xf numFmtId="0" fontId="68" fillId="0" borderId="108" xfId="71" applyFont="1" applyBorder="1" applyAlignment="1" applyProtection="1">
      <alignment horizontal="left" wrapText="1"/>
      <protection locked="0"/>
    </xf>
    <xf numFmtId="0" fontId="30" fillId="0" borderId="108" xfId="71" applyFont="1" applyBorder="1" applyAlignment="1" applyProtection="1">
      <alignment horizontal="left" wrapText="1"/>
      <protection locked="0"/>
    </xf>
    <xf numFmtId="167" fontId="30" fillId="0" borderId="108" xfId="71" applyNumberFormat="1" applyFont="1" applyBorder="1" applyAlignment="1" applyProtection="1">
      <alignment horizontal="right"/>
      <protection locked="0"/>
    </xf>
    <xf numFmtId="39" fontId="68" fillId="0" borderId="108" xfId="71" applyNumberFormat="1" applyFont="1" applyBorder="1" applyAlignment="1" applyProtection="1">
      <alignment horizontal="right"/>
      <protection locked="0"/>
    </xf>
    <xf numFmtId="0" fontId="41" fillId="0" borderId="108" xfId="71" applyFont="1" applyBorder="1" applyAlignment="1" applyProtection="1">
      <alignment horizontal="center" vertical="center"/>
      <protection locked="0"/>
    </xf>
    <xf numFmtId="2" fontId="37" fillId="0" borderId="108" xfId="71" applyNumberFormat="1" applyFont="1" applyBorder="1" applyAlignment="1" applyProtection="1">
      <alignment horizontal="left" vertical="center"/>
      <protection locked="0"/>
    </xf>
    <xf numFmtId="0" fontId="9" fillId="0" borderId="108" xfId="71" applyBorder="1" applyAlignment="1" applyProtection="1">
      <alignment horizontal="left" vertical="top"/>
      <protection locked="0"/>
    </xf>
    <xf numFmtId="37" fontId="10" fillId="0" borderId="109" xfId="71" applyNumberFormat="1" applyFont="1" applyBorder="1" applyAlignment="1" applyProtection="1">
      <alignment horizontal="right"/>
      <protection locked="0"/>
    </xf>
    <xf numFmtId="0" fontId="10" fillId="0" borderId="110" xfId="71" applyFont="1" applyBorder="1" applyAlignment="1" applyProtection="1">
      <alignment horizontal="left" wrapText="1"/>
      <protection locked="0"/>
    </xf>
    <xf numFmtId="0" fontId="10" fillId="0" borderId="109" xfId="71" applyFont="1" applyBorder="1" applyAlignment="1" applyProtection="1">
      <alignment horizontal="left" wrapText="1"/>
      <protection locked="0"/>
    </xf>
    <xf numFmtId="167" fontId="10" fillId="0" borderId="111" xfId="71" applyNumberFormat="1" applyFont="1" applyBorder="1" applyAlignment="1" applyProtection="1">
      <alignment horizontal="right"/>
      <protection locked="0"/>
    </xf>
    <xf numFmtId="39" fontId="10" fillId="0" borderId="109" xfId="71" applyNumberFormat="1" applyFont="1" applyBorder="1" applyAlignment="1" applyProtection="1">
      <alignment horizontal="right"/>
      <protection locked="0"/>
    </xf>
    <xf numFmtId="39" fontId="10" fillId="0" borderId="110" xfId="3" applyNumberFormat="1" applyFont="1" applyBorder="1" applyAlignment="1" applyProtection="1">
      <alignment horizontal="center"/>
      <protection locked="0"/>
    </xf>
    <xf numFmtId="37" fontId="68" fillId="0" borderId="112" xfId="71" applyNumberFormat="1" applyFont="1" applyBorder="1" applyAlignment="1" applyProtection="1">
      <alignment horizontal="right"/>
      <protection locked="0"/>
    </xf>
    <xf numFmtId="0" fontId="68" fillId="0" borderId="112" xfId="71" applyFont="1" applyBorder="1" applyAlignment="1" applyProtection="1">
      <alignment horizontal="left" wrapText="1"/>
      <protection locked="0"/>
    </xf>
    <xf numFmtId="0" fontId="30" fillId="0" borderId="112" xfId="71" applyFont="1" applyBorder="1" applyAlignment="1" applyProtection="1">
      <alignment horizontal="left" wrapText="1"/>
      <protection locked="0"/>
    </xf>
    <xf numFmtId="167" fontId="30" fillId="0" borderId="112" xfId="71" applyNumberFormat="1" applyFont="1" applyBorder="1" applyAlignment="1" applyProtection="1">
      <alignment horizontal="right"/>
      <protection locked="0"/>
    </xf>
    <xf numFmtId="39" fontId="68" fillId="0" borderId="112" xfId="71" applyNumberFormat="1" applyFont="1" applyBorder="1" applyAlignment="1" applyProtection="1">
      <alignment horizontal="right"/>
      <protection locked="0"/>
    </xf>
    <xf numFmtId="0" fontId="41" fillId="0" borderId="112" xfId="71" applyFont="1" applyBorder="1" applyAlignment="1" applyProtection="1">
      <alignment horizontal="center" vertical="center"/>
      <protection locked="0"/>
    </xf>
    <xf numFmtId="2" fontId="37" fillId="0" borderId="112" xfId="71" applyNumberFormat="1" applyFont="1" applyBorder="1" applyAlignment="1" applyProtection="1">
      <alignment horizontal="left" vertical="center"/>
      <protection locked="0"/>
    </xf>
    <xf numFmtId="0" fontId="9" fillId="0" borderId="112" xfId="71" applyBorder="1" applyAlignment="1" applyProtection="1">
      <alignment horizontal="left" vertical="top"/>
      <protection locked="0"/>
    </xf>
    <xf numFmtId="37" fontId="10" fillId="0" borderId="113" xfId="71" applyNumberFormat="1" applyFont="1" applyBorder="1" applyAlignment="1" applyProtection="1">
      <alignment horizontal="right"/>
      <protection locked="0"/>
    </xf>
    <xf numFmtId="0" fontId="10" fillId="0" borderId="114" xfId="71" applyFont="1" applyBorder="1" applyAlignment="1" applyProtection="1">
      <alignment horizontal="left" wrapText="1"/>
      <protection locked="0"/>
    </xf>
    <xf numFmtId="0" fontId="10" fillId="0" borderId="113" xfId="71" applyFont="1" applyBorder="1" applyAlignment="1" applyProtection="1">
      <alignment horizontal="left" wrapText="1"/>
      <protection locked="0"/>
    </xf>
    <xf numFmtId="167" fontId="10" fillId="0" borderId="115" xfId="71" applyNumberFormat="1" applyFont="1" applyBorder="1" applyAlignment="1" applyProtection="1">
      <alignment horizontal="right"/>
      <protection locked="0"/>
    </xf>
    <xf numFmtId="39" fontId="10" fillId="0" borderId="113" xfId="71" applyNumberFormat="1" applyFont="1" applyBorder="1" applyAlignment="1" applyProtection="1">
      <alignment horizontal="right"/>
      <protection locked="0"/>
    </xf>
    <xf numFmtId="39" fontId="10" fillId="0" borderId="114" xfId="3" applyNumberFormat="1" applyFont="1" applyBorder="1" applyAlignment="1" applyProtection="1">
      <alignment horizontal="center"/>
      <protection locked="0"/>
    </xf>
    <xf numFmtId="37" fontId="68" fillId="0" borderId="116" xfId="71" applyNumberFormat="1" applyFont="1" applyBorder="1" applyAlignment="1" applyProtection="1">
      <alignment horizontal="right"/>
      <protection locked="0"/>
    </xf>
    <xf numFmtId="0" fontId="68" fillId="0" borderId="116" xfId="71" applyFont="1" applyBorder="1" applyAlignment="1" applyProtection="1">
      <alignment horizontal="left" wrapText="1"/>
      <protection locked="0"/>
    </xf>
    <xf numFmtId="0" fontId="30" fillId="0" borderId="116" xfId="71" applyFont="1" applyBorder="1" applyAlignment="1" applyProtection="1">
      <alignment horizontal="left" wrapText="1"/>
      <protection locked="0"/>
    </xf>
    <xf numFmtId="167" fontId="30" fillId="0" borderId="116" xfId="71" applyNumberFormat="1" applyFont="1" applyBorder="1" applyAlignment="1" applyProtection="1">
      <alignment horizontal="right"/>
      <protection locked="0"/>
    </xf>
    <xf numFmtId="39" fontId="68" fillId="0" borderId="116" xfId="71" applyNumberFormat="1" applyFont="1" applyBorder="1" applyAlignment="1" applyProtection="1">
      <alignment horizontal="right"/>
      <protection locked="0"/>
    </xf>
    <xf numFmtId="39" fontId="10" fillId="0" borderId="116" xfId="71" applyNumberFormat="1" applyFont="1" applyBorder="1" applyAlignment="1" applyProtection="1">
      <alignment horizontal="right"/>
      <protection locked="0"/>
    </xf>
    <xf numFmtId="0" fontId="41" fillId="0" borderId="116" xfId="71" applyFont="1" applyBorder="1" applyAlignment="1" applyProtection="1">
      <alignment horizontal="center" vertical="center"/>
      <protection locked="0"/>
    </xf>
    <xf numFmtId="2" fontId="37" fillId="0" borderId="116" xfId="71" applyNumberFormat="1" applyFont="1" applyBorder="1" applyAlignment="1" applyProtection="1">
      <alignment horizontal="left" vertical="center"/>
      <protection locked="0"/>
    </xf>
    <xf numFmtId="0" fontId="9" fillId="0" borderId="116" xfId="71" applyBorder="1" applyAlignment="1" applyProtection="1">
      <alignment horizontal="left" vertical="top"/>
      <protection locked="0"/>
    </xf>
    <xf numFmtId="37" fontId="10" fillId="0" borderId="117" xfId="71" applyNumberFormat="1" applyFont="1" applyBorder="1" applyAlignment="1" applyProtection="1">
      <alignment horizontal="right"/>
      <protection locked="0"/>
    </xf>
    <xf numFmtId="0" fontId="10" fillId="0" borderId="118" xfId="71" applyFont="1" applyBorder="1" applyAlignment="1" applyProtection="1">
      <alignment horizontal="left" wrapText="1"/>
      <protection locked="0"/>
    </xf>
    <xf numFmtId="0" fontId="10" fillId="0" borderId="117" xfId="71" applyFont="1" applyBorder="1" applyAlignment="1" applyProtection="1">
      <alignment horizontal="left" wrapText="1"/>
      <protection locked="0"/>
    </xf>
    <xf numFmtId="167" fontId="10" fillId="0" borderId="119" xfId="71" applyNumberFormat="1" applyFont="1" applyBorder="1" applyAlignment="1" applyProtection="1">
      <alignment horizontal="right"/>
      <protection locked="0"/>
    </xf>
    <xf numFmtId="39" fontId="10" fillId="0" borderId="117" xfId="71" applyNumberFormat="1" applyFont="1" applyBorder="1" applyAlignment="1" applyProtection="1">
      <alignment horizontal="right"/>
      <protection locked="0"/>
    </xf>
    <xf numFmtId="39" fontId="10" fillId="0" borderId="120" xfId="3" applyNumberFormat="1" applyFont="1" applyBorder="1" applyAlignment="1" applyProtection="1">
      <alignment horizontal="center"/>
      <protection locked="0"/>
    </xf>
    <xf numFmtId="0" fontId="146" fillId="0" borderId="38" xfId="51" applyFont="1" applyFill="1" applyBorder="1" applyAlignment="1">
      <alignment horizontal="right" vertical="center"/>
      <protection locked="0"/>
    </xf>
    <xf numFmtId="0" fontId="297" fillId="0" borderId="0" xfId="51" applyFont="1" applyFill="1" applyBorder="1" applyAlignment="1" applyProtection="1">
      <alignment horizontal="left" vertical="center"/>
      <protection locked="0"/>
    </xf>
    <xf numFmtId="0" fontId="10" fillId="0" borderId="116" xfId="71" applyFont="1" applyBorder="1" applyAlignment="1" applyProtection="1">
      <alignment horizontal="left" wrapText="1"/>
      <protection locked="0"/>
    </xf>
    <xf numFmtId="167" fontId="74" fillId="0" borderId="116" xfId="71" applyNumberFormat="1" applyFont="1" applyBorder="1" applyAlignment="1" applyProtection="1">
      <alignment horizontal="right"/>
      <protection locked="0"/>
    </xf>
    <xf numFmtId="39" fontId="10" fillId="0" borderId="121" xfId="3" applyNumberFormat="1" applyFont="1" applyBorder="1" applyAlignment="1" applyProtection="1">
      <alignment horizontal="center"/>
      <protection locked="0"/>
    </xf>
    <xf numFmtId="0" fontId="123" fillId="0" borderId="116" xfId="71" applyFont="1" applyBorder="1" applyAlignment="1" applyProtection="1">
      <alignment horizontal="center" vertical="center" wrapText="1"/>
      <protection locked="0"/>
    </xf>
    <xf numFmtId="0" fontId="146" fillId="0" borderId="0" xfId="51" applyFont="1" applyFill="1" applyBorder="1" applyAlignment="1">
      <alignment horizontal="right" vertical="center"/>
      <protection locked="0"/>
    </xf>
    <xf numFmtId="37" fontId="68" fillId="0" borderId="119" xfId="71" applyNumberFormat="1" applyFont="1" applyBorder="1" applyAlignment="1" applyProtection="1">
      <alignment horizontal="right"/>
      <protection locked="0"/>
    </xf>
    <xf numFmtId="0" fontId="68" fillId="0" borderId="119" xfId="71" applyFont="1" applyBorder="1" applyAlignment="1" applyProtection="1">
      <alignment horizontal="left" wrapText="1"/>
      <protection locked="0"/>
    </xf>
    <xf numFmtId="0" fontId="30" fillId="0" borderId="119" xfId="71" applyFont="1" applyBorder="1" applyAlignment="1" applyProtection="1">
      <alignment horizontal="left" vertical="center" wrapText="1"/>
      <protection locked="0"/>
    </xf>
    <xf numFmtId="2" fontId="30" fillId="0" borderId="119" xfId="71" applyNumberFormat="1" applyFont="1" applyBorder="1" applyAlignment="1" applyProtection="1">
      <alignment horizontal="right"/>
      <protection locked="0"/>
    </xf>
    <xf numFmtId="4" fontId="10" fillId="0" borderId="119" xfId="71" applyNumberFormat="1" applyFont="1" applyBorder="1" applyAlignment="1" applyProtection="1">
      <alignment horizontal="right"/>
      <protection locked="0"/>
    </xf>
    <xf numFmtId="0" fontId="9" fillId="0" borderId="119" xfId="71" applyBorder="1" applyAlignment="1" applyProtection="1">
      <alignment horizontal="left" vertical="top"/>
      <protection locked="0"/>
    </xf>
    <xf numFmtId="37" fontId="68" fillId="0" borderId="122" xfId="71" applyNumberFormat="1" applyFont="1" applyBorder="1" applyAlignment="1" applyProtection="1">
      <alignment horizontal="right"/>
      <protection locked="0"/>
    </xf>
    <xf numFmtId="0" fontId="68" fillId="0" borderId="122" xfId="71" applyFont="1" applyBorder="1" applyAlignment="1" applyProtection="1">
      <alignment horizontal="left" wrapText="1"/>
      <protection locked="0"/>
    </xf>
    <xf numFmtId="0" fontId="30" fillId="0" borderId="122" xfId="71" applyFont="1" applyBorder="1" applyAlignment="1" applyProtection="1">
      <alignment horizontal="left" wrapText="1"/>
      <protection locked="0"/>
    </xf>
    <xf numFmtId="167" fontId="30" fillId="0" borderId="122" xfId="71" applyNumberFormat="1" applyFont="1" applyBorder="1" applyAlignment="1" applyProtection="1">
      <alignment horizontal="right"/>
      <protection locked="0"/>
    </xf>
    <xf numFmtId="2" fontId="37" fillId="0" borderId="122" xfId="71" applyNumberFormat="1" applyFont="1" applyBorder="1" applyAlignment="1" applyProtection="1">
      <alignment horizontal="left" vertical="center"/>
      <protection locked="0"/>
    </xf>
    <xf numFmtId="39" fontId="10" fillId="0" borderId="122" xfId="71" applyNumberFormat="1" applyFont="1" applyBorder="1" applyAlignment="1" applyProtection="1">
      <alignment horizontal="right"/>
      <protection locked="0"/>
    </xf>
    <xf numFmtId="0" fontId="9" fillId="0" borderId="122" xfId="71" applyBorder="1" applyAlignment="1" applyProtection="1">
      <alignment horizontal="left" vertical="top"/>
      <protection locked="0"/>
    </xf>
    <xf numFmtId="37" fontId="10" fillId="0" borderId="123" xfId="71" applyNumberFormat="1" applyFont="1" applyBorder="1" applyAlignment="1" applyProtection="1">
      <alignment horizontal="right"/>
      <protection locked="0"/>
    </xf>
    <xf numFmtId="0" fontId="10" fillId="0" borderId="124" xfId="71" applyFont="1" applyBorder="1" applyAlignment="1" applyProtection="1">
      <alignment horizontal="left" wrapText="1"/>
      <protection locked="0"/>
    </xf>
    <xf numFmtId="0" fontId="10" fillId="0" borderId="123" xfId="71" applyFont="1" applyBorder="1" applyAlignment="1" applyProtection="1">
      <alignment horizontal="left" wrapText="1"/>
      <protection locked="0"/>
    </xf>
    <xf numFmtId="167" fontId="10" fillId="0" borderId="125" xfId="71" applyNumberFormat="1" applyFont="1" applyBorder="1" applyAlignment="1" applyProtection="1">
      <alignment horizontal="right"/>
      <protection locked="0"/>
    </xf>
    <xf numFmtId="39" fontId="10" fillId="0" borderId="123" xfId="71" applyNumberFormat="1" applyFont="1" applyBorder="1" applyAlignment="1" applyProtection="1">
      <alignment horizontal="right"/>
      <protection locked="0"/>
    </xf>
    <xf numFmtId="39" fontId="10" fillId="0" borderId="126" xfId="3" applyNumberFormat="1" applyFont="1" applyBorder="1" applyAlignment="1" applyProtection="1">
      <alignment horizontal="center"/>
      <protection locked="0"/>
    </xf>
    <xf numFmtId="0" fontId="10" fillId="0" borderId="122" xfId="71" applyFont="1" applyBorder="1" applyAlignment="1" applyProtection="1">
      <alignment horizontal="left" wrapText="1"/>
      <protection locked="0"/>
    </xf>
    <xf numFmtId="167" fontId="74" fillId="0" borderId="122" xfId="71" applyNumberFormat="1" applyFont="1" applyBorder="1" applyAlignment="1" applyProtection="1">
      <alignment horizontal="right"/>
      <protection locked="0"/>
    </xf>
    <xf numFmtId="39" fontId="10" fillId="0" borderId="127" xfId="3" applyNumberFormat="1" applyFont="1" applyBorder="1" applyAlignment="1" applyProtection="1">
      <alignment horizontal="center"/>
      <protection locked="0"/>
    </xf>
    <xf numFmtId="0" fontId="123" fillId="0" borderId="122" xfId="71" applyFont="1" applyBorder="1" applyAlignment="1" applyProtection="1">
      <alignment horizontal="center" vertical="center" wrapText="1"/>
      <protection locked="0"/>
    </xf>
    <xf numFmtId="39" fontId="68" fillId="0" borderId="122" xfId="71" applyNumberFormat="1" applyFont="1" applyBorder="1" applyAlignment="1" applyProtection="1">
      <alignment horizontal="right"/>
      <protection locked="0"/>
    </xf>
    <xf numFmtId="0" fontId="41" fillId="0" borderId="122" xfId="71" applyFont="1" applyBorder="1" applyAlignment="1" applyProtection="1">
      <alignment horizontal="center" vertical="center"/>
      <protection locked="0"/>
    </xf>
    <xf numFmtId="0" fontId="146" fillId="0" borderId="38" xfId="51" applyFont="1" applyFill="1" applyBorder="1" applyAlignment="1">
      <alignment horizontal="left" vertical="center"/>
      <protection locked="0"/>
    </xf>
    <xf numFmtId="2" fontId="71" fillId="0" borderId="0" xfId="88" applyNumberFormat="1" applyFont="1" applyFill="1" applyBorder="1" applyAlignment="1" applyProtection="1">
      <alignment vertical="center"/>
    </xf>
    <xf numFmtId="0" fontId="278" fillId="0" borderId="0" xfId="88" applyFill="1" applyBorder="1" applyAlignment="1" applyProtection="1">
      <alignment vertical="center"/>
    </xf>
    <xf numFmtId="0" fontId="125" fillId="0" borderId="0" xfId="51" applyFill="1" applyBorder="1" applyAlignment="1" applyProtection="1">
      <alignment vertical="center"/>
    </xf>
    <xf numFmtId="0" fontId="71" fillId="0" borderId="0" xfId="88" applyFont="1" applyFill="1" applyBorder="1" applyAlignment="1" applyProtection="1">
      <alignment vertical="center"/>
    </xf>
    <xf numFmtId="39" fontId="102" fillId="0" borderId="0" xfId="72" applyNumberFormat="1" applyFont="1" applyFill="1" applyBorder="1" applyAlignment="1">
      <alignment horizontal="left" vertical="center"/>
      <protection locked="0"/>
    </xf>
    <xf numFmtId="0" fontId="93" fillId="0" borderId="0" xfId="72" applyFill="1" applyBorder="1" applyAlignment="1">
      <alignment horizontal="left" vertical="top"/>
      <protection locked="0"/>
    </xf>
    <xf numFmtId="2" fontId="93" fillId="0" borderId="0" xfId="72" applyNumberFormat="1" applyFill="1" applyBorder="1" applyAlignment="1">
      <alignment horizontal="left" vertical="top"/>
      <protection locked="0"/>
    </xf>
    <xf numFmtId="39" fontId="102" fillId="0" borderId="0" xfId="72" applyNumberFormat="1" applyFont="1" applyFill="1" applyBorder="1" applyAlignment="1">
      <alignment horizontal="center" vertical="center"/>
      <protection locked="0"/>
    </xf>
    <xf numFmtId="0" fontId="12" fillId="0" borderId="0" xfId="72" applyNumberFormat="1" applyFont="1" applyFill="1" applyBorder="1" applyAlignment="1">
      <protection locked="0"/>
    </xf>
    <xf numFmtId="0" fontId="278" fillId="0" borderId="0" xfId="88" applyFill="1" applyBorder="1" applyAlignment="1">
      <alignment horizontal="left" vertical="top"/>
      <protection locked="0"/>
    </xf>
    <xf numFmtId="171" fontId="125" fillId="0" borderId="0" xfId="51" applyNumberFormat="1" applyFill="1" applyBorder="1" applyAlignment="1" applyProtection="1">
      <alignment vertical="center"/>
      <protection locked="0"/>
    </xf>
    <xf numFmtId="39" fontId="10" fillId="0" borderId="87" xfId="3" applyNumberFormat="1" applyFont="1" applyBorder="1" applyAlignment="1" applyProtection="1">
      <alignment horizontal="center"/>
      <protection locked="0"/>
    </xf>
    <xf numFmtId="37" fontId="10" fillId="0" borderId="87" xfId="71" applyNumberFormat="1" applyFont="1" applyBorder="1" applyAlignment="1" applyProtection="1">
      <alignment horizontal="right"/>
      <protection locked="0"/>
    </xf>
    <xf numFmtId="0" fontId="10" fillId="0" borderId="87" xfId="71" applyFont="1" applyBorder="1" applyAlignment="1" applyProtection="1">
      <alignment horizontal="left" wrapText="1"/>
      <protection locked="0"/>
    </xf>
    <xf numFmtId="0" fontId="30" fillId="0" borderId="87" xfId="71" applyFont="1" applyBorder="1" applyAlignment="1" applyProtection="1">
      <alignment horizontal="left" wrapText="1"/>
      <protection locked="0"/>
    </xf>
    <xf numFmtId="167" fontId="30" fillId="0" borderId="87" xfId="71" applyNumberFormat="1" applyFont="1" applyBorder="1" applyAlignment="1" applyProtection="1">
      <alignment horizontal="right"/>
      <protection locked="0"/>
    </xf>
    <xf numFmtId="39" fontId="10" fillId="0" borderId="87" xfId="71" applyNumberFormat="1" applyFont="1" applyBorder="1" applyAlignment="1" applyProtection="1">
      <alignment horizontal="right"/>
      <protection locked="0"/>
    </xf>
    <xf numFmtId="39" fontId="10" fillId="0" borderId="87" xfId="71" applyNumberFormat="1" applyFont="1" applyBorder="1" applyAlignment="1" applyProtection="1">
      <alignment horizontal="center"/>
      <protection locked="0"/>
    </xf>
    <xf numFmtId="37" fontId="10" fillId="0" borderId="87" xfId="3" applyNumberFormat="1" applyFont="1" applyBorder="1" applyAlignment="1" applyProtection="1">
      <alignment horizontal="right"/>
      <protection locked="0"/>
    </xf>
    <xf numFmtId="0" fontId="10" fillId="0" borderId="87" xfId="3" applyFont="1" applyBorder="1" applyAlignment="1" applyProtection="1">
      <alignment horizontal="left" wrapText="1"/>
      <protection locked="0"/>
    </xf>
    <xf numFmtId="39" fontId="10" fillId="0" borderId="87" xfId="3" applyNumberFormat="1" applyFont="1" applyBorder="1" applyAlignment="1" applyProtection="1">
      <alignment horizontal="right"/>
      <protection locked="0"/>
    </xf>
    <xf numFmtId="39" fontId="209" fillId="0" borderId="0" xfId="88" applyNumberFormat="1" applyFont="1" applyFill="1" applyBorder="1" applyAlignment="1" applyProtection="1">
      <alignment horizontal="center" vertical="center"/>
    </xf>
    <xf numFmtId="0" fontId="30" fillId="0" borderId="87" xfId="3" applyFont="1" applyBorder="1" applyAlignment="1" applyProtection="1">
      <alignment horizontal="left" wrapText="1"/>
      <protection locked="0"/>
    </xf>
    <xf numFmtId="167" fontId="30" fillId="0" borderId="87" xfId="3" applyNumberFormat="1" applyFont="1" applyBorder="1" applyAlignment="1" applyProtection="1">
      <alignment horizontal="right"/>
      <protection locked="0"/>
    </xf>
    <xf numFmtId="1" fontId="10" fillId="0" borderId="87" xfId="60" applyNumberFormat="1" applyFont="1" applyBorder="1" applyAlignment="1">
      <alignment horizontal="right" wrapText="1"/>
      <protection locked="0"/>
    </xf>
    <xf numFmtId="49" fontId="10" fillId="0" borderId="87" xfId="60" applyNumberFormat="1" applyFont="1" applyBorder="1" applyAlignment="1">
      <alignment horizontal="left" wrapText="1"/>
      <protection locked="0"/>
    </xf>
    <xf numFmtId="0" fontId="30" fillId="0" borderId="87" xfId="60" applyFont="1" applyBorder="1" applyAlignment="1">
      <alignment horizontal="left" wrapText="1"/>
      <protection locked="0"/>
    </xf>
    <xf numFmtId="0" fontId="30" fillId="0" borderId="87" xfId="37" applyFont="1" applyBorder="1" applyAlignment="1">
      <alignment horizontal="left" wrapText="1"/>
    </xf>
    <xf numFmtId="4" fontId="30" fillId="0" borderId="87" xfId="60" applyNumberFormat="1" applyFont="1" applyBorder="1" applyAlignment="1">
      <alignment horizontal="right"/>
      <protection locked="0"/>
    </xf>
    <xf numFmtId="39" fontId="10" fillId="0" borderId="87" xfId="60" applyNumberFormat="1" applyFont="1" applyBorder="1" applyAlignment="1">
      <alignment horizontal="center"/>
      <protection locked="0"/>
    </xf>
    <xf numFmtId="7" fontId="75" fillId="0" borderId="87" xfId="60" applyNumberFormat="1" applyFont="1" applyBorder="1" applyAlignment="1">
      <alignment horizontal="center" vertical="center"/>
      <protection locked="0"/>
    </xf>
    <xf numFmtId="0" fontId="125" fillId="0" borderId="0" xfId="51" applyFill="1" applyBorder="1" applyAlignment="1">
      <alignment horizontal="left" vertical="top"/>
      <protection locked="0"/>
    </xf>
    <xf numFmtId="0" fontId="125" fillId="0" borderId="0" xfId="51" applyFill="1" applyBorder="1" applyAlignment="1">
      <alignment horizontal="left" vertical="center"/>
      <protection locked="0"/>
    </xf>
    <xf numFmtId="0" fontId="299" fillId="0" borderId="0" xfId="51" applyFont="1" applyFill="1" applyBorder="1" applyAlignment="1">
      <alignment horizontal="left" vertical="top"/>
      <protection locked="0"/>
    </xf>
    <xf numFmtId="0" fontId="12" fillId="0" borderId="0" xfId="51" applyFont="1" applyFill="1" applyBorder="1" applyAlignment="1" applyProtection="1">
      <alignment vertical="center"/>
    </xf>
    <xf numFmtId="0" fontId="18" fillId="0" borderId="39" xfId="51" applyFont="1" applyFill="1" applyBorder="1" applyAlignment="1">
      <alignment horizontal="right"/>
      <protection locked="0"/>
    </xf>
    <xf numFmtId="0" fontId="196" fillId="0" borderId="0" xfId="51" applyFont="1" applyFill="1" applyBorder="1" applyAlignment="1">
      <alignment horizontal="left"/>
      <protection locked="0"/>
    </xf>
    <xf numFmtId="39" fontId="124" fillId="0" borderId="87" xfId="60" applyNumberFormat="1" applyFont="1" applyBorder="1" applyAlignment="1">
      <alignment horizontal="right"/>
      <protection locked="0"/>
    </xf>
    <xf numFmtId="0" fontId="125" fillId="0" borderId="0" xfId="51" applyFill="1" applyBorder="1" applyAlignment="1" applyProtection="1"/>
    <xf numFmtId="39" fontId="10" fillId="0" borderId="87" xfId="60" applyNumberFormat="1" applyFont="1" applyBorder="1" applyAlignment="1">
      <alignment horizontal="right"/>
      <protection locked="0"/>
    </xf>
    <xf numFmtId="4" fontId="124" fillId="0" borderId="87" xfId="60" applyNumberFormat="1" applyFont="1" applyBorder="1" applyAlignment="1">
      <alignment horizontal="right" vertical="center"/>
      <protection locked="0"/>
    </xf>
    <xf numFmtId="0" fontId="166" fillId="0" borderId="0" xfId="51" applyFont="1" applyFill="1" applyBorder="1" applyAlignment="1" applyProtection="1">
      <alignment vertical="center"/>
    </xf>
    <xf numFmtId="0" fontId="9" fillId="11" borderId="0" xfId="71" applyFill="1" applyAlignment="1" applyProtection="1">
      <alignment horizontal="left" vertical="top"/>
      <protection locked="0"/>
    </xf>
    <xf numFmtId="37" fontId="39" fillId="0" borderId="87" xfId="6" applyNumberFormat="1" applyFont="1" applyBorder="1" applyAlignment="1" applyProtection="1">
      <alignment horizontal="right"/>
      <protection locked="0"/>
    </xf>
    <xf numFmtId="49" fontId="39" fillId="0" borderId="87" xfId="6" applyNumberFormat="1" applyFont="1" applyBorder="1" applyAlignment="1" applyProtection="1">
      <alignment horizontal="left" wrapText="1"/>
      <protection locked="0"/>
    </xf>
    <xf numFmtId="0" fontId="39" fillId="0" borderId="87" xfId="6" applyFont="1" applyBorder="1" applyAlignment="1" applyProtection="1">
      <alignment horizontal="left" wrapText="1"/>
      <protection locked="0"/>
    </xf>
    <xf numFmtId="39" fontId="39" fillId="0" borderId="87" xfId="6" applyNumberFormat="1" applyFont="1" applyBorder="1" applyAlignment="1" applyProtection="1">
      <alignment horizontal="right"/>
      <protection locked="0"/>
    </xf>
    <xf numFmtId="0" fontId="14" fillId="0" borderId="87" xfId="6" applyBorder="1" applyAlignment="1" applyProtection="1">
      <alignment horizontal="right" vertical="top"/>
      <protection locked="0"/>
    </xf>
    <xf numFmtId="0" fontId="93" fillId="0" borderId="0" xfId="76" applyFill="1" applyBorder="1" applyAlignment="1" applyProtection="1"/>
    <xf numFmtId="0" fontId="14" fillId="11" borderId="0" xfId="6" applyFill="1" applyAlignment="1" applyProtection="1">
      <alignment horizontal="left" vertical="top"/>
      <protection locked="0"/>
    </xf>
    <xf numFmtId="0" fontId="93" fillId="0" borderId="0" xfId="76" applyFill="1" applyBorder="1" applyAlignment="1">
      <alignment horizontal="left" vertical="top"/>
      <protection locked="0"/>
    </xf>
    <xf numFmtId="37" fontId="98" fillId="0" borderId="87" xfId="71" applyNumberFormat="1" applyFont="1" applyBorder="1" applyAlignment="1" applyProtection="1">
      <alignment horizontal="right"/>
      <protection locked="0"/>
    </xf>
    <xf numFmtId="0" fontId="98" fillId="0" borderId="87" xfId="71" applyFont="1" applyBorder="1" applyAlignment="1" applyProtection="1">
      <alignment horizontal="left" wrapText="1"/>
      <protection locked="0"/>
    </xf>
    <xf numFmtId="167" fontId="9" fillId="0" borderId="0" xfId="71" applyNumberFormat="1" applyAlignment="1" applyProtection="1">
      <alignment vertical="top"/>
      <protection locked="0"/>
    </xf>
    <xf numFmtId="39" fontId="98" fillId="0" borderId="87" xfId="71" applyNumberFormat="1" applyFont="1" applyBorder="1" applyAlignment="1" applyProtection="1">
      <alignment horizontal="right"/>
      <protection locked="0"/>
    </xf>
    <xf numFmtId="0" fontId="13" fillId="0" borderId="87" xfId="71" applyFont="1" applyBorder="1" applyAlignment="1" applyProtection="1">
      <alignment horizontal="center" vertical="top"/>
      <protection locked="0"/>
    </xf>
    <xf numFmtId="0" fontId="105" fillId="0" borderId="0" xfId="51" applyFont="1" applyFill="1" applyBorder="1" applyAlignment="1" applyProtection="1">
      <alignment horizontal="left" vertical="center"/>
      <protection locked="0"/>
    </xf>
    <xf numFmtId="37" fontId="74" fillId="0" borderId="87" xfId="71" applyNumberFormat="1" applyFont="1" applyBorder="1" applyAlignment="1" applyProtection="1">
      <alignment horizontal="right"/>
      <protection locked="0"/>
    </xf>
    <xf numFmtId="0" fontId="68" fillId="0" borderId="87" xfId="71" applyFont="1" applyBorder="1" applyAlignment="1" applyProtection="1">
      <alignment horizontal="left" wrapText="1"/>
      <protection locked="0"/>
    </xf>
    <xf numFmtId="0" fontId="74" fillId="0" borderId="87" xfId="71" applyFont="1" applyBorder="1" applyAlignment="1" applyProtection="1">
      <alignment horizontal="left" wrapText="1"/>
      <protection locked="0"/>
    </xf>
    <xf numFmtId="4" fontId="74" fillId="5" borderId="87" xfId="71" applyNumberFormat="1" applyFont="1" applyFill="1" applyBorder="1" applyAlignment="1" applyProtection="1">
      <alignment horizontal="right"/>
      <protection locked="0"/>
    </xf>
    <xf numFmtId="39" fontId="74" fillId="0" borderId="87" xfId="12" applyNumberFormat="1" applyFont="1" applyBorder="1" applyAlignment="1">
      <alignment horizontal="center"/>
      <protection locked="0"/>
    </xf>
    <xf numFmtId="37" fontId="139" fillId="0" borderId="87" xfId="71" applyNumberFormat="1" applyFont="1" applyBorder="1" applyAlignment="1" applyProtection="1">
      <alignment horizontal="right"/>
      <protection locked="0"/>
    </xf>
    <xf numFmtId="0" fontId="230" fillId="0" borderId="87" xfId="71" applyFont="1" applyBorder="1" applyAlignment="1" applyProtection="1">
      <alignment horizontal="left" wrapText="1"/>
      <protection locked="0"/>
    </xf>
    <xf numFmtId="0" fontId="139" fillId="0" borderId="87" xfId="71" applyFont="1" applyBorder="1" applyAlignment="1" applyProtection="1">
      <alignment horizontal="left" wrapText="1"/>
      <protection locked="0"/>
    </xf>
    <xf numFmtId="0" fontId="59" fillId="0" borderId="87" xfId="71" applyFont="1" applyBorder="1" applyAlignment="1" applyProtection="1">
      <alignment horizontal="left" wrapText="1"/>
      <protection locked="0"/>
    </xf>
    <xf numFmtId="167" fontId="59" fillId="0" borderId="87" xfId="71" applyNumberFormat="1" applyFont="1" applyBorder="1" applyAlignment="1" applyProtection="1">
      <alignment horizontal="right"/>
      <protection locked="0"/>
    </xf>
    <xf numFmtId="4" fontId="139" fillId="5" borderId="87" xfId="71" applyNumberFormat="1" applyFont="1" applyFill="1" applyBorder="1" applyAlignment="1" applyProtection="1">
      <alignment horizontal="right"/>
      <protection locked="0"/>
    </xf>
    <xf numFmtId="39" fontId="139" fillId="0" borderId="87" xfId="12" applyNumberFormat="1" applyFont="1" applyBorder="1" applyAlignment="1">
      <alignment horizontal="center"/>
      <protection locked="0"/>
    </xf>
    <xf numFmtId="0" fontId="64" fillId="0" borderId="0" xfId="72" applyFont="1" applyFill="1" applyBorder="1" applyAlignment="1" applyProtection="1">
      <alignment horizontal="left" vertical="center"/>
      <protection locked="0"/>
    </xf>
    <xf numFmtId="0" fontId="93" fillId="0" borderId="0" xfId="72" applyFill="1" applyBorder="1" applyAlignment="1" applyProtection="1">
      <alignment horizontal="left" vertical="top"/>
      <protection locked="0"/>
    </xf>
    <xf numFmtId="37" fontId="10" fillId="0" borderId="84" xfId="71" applyNumberFormat="1" applyFont="1" applyBorder="1" applyAlignment="1" applyProtection="1">
      <alignment horizontal="right"/>
      <protection locked="0"/>
    </xf>
    <xf numFmtId="0" fontId="10" fillId="0" borderId="83" xfId="3" applyFont="1" applyBorder="1" applyAlignment="1" applyProtection="1">
      <alignment horizontal="left" wrapText="1"/>
      <protection locked="0"/>
    </xf>
    <xf numFmtId="0" fontId="10" fillId="0" borderId="83" xfId="71" applyFont="1" applyBorder="1" applyAlignment="1" applyProtection="1">
      <alignment horizontal="left" wrapText="1"/>
      <protection locked="0"/>
    </xf>
    <xf numFmtId="0" fontId="10" fillId="0" borderId="80" xfId="71" applyFont="1" applyBorder="1" applyAlignment="1" applyProtection="1">
      <alignment horizontal="left" wrapText="1"/>
      <protection locked="0"/>
    </xf>
    <xf numFmtId="167" fontId="10" fillId="0" borderId="80" xfId="71" applyNumberFormat="1" applyFont="1" applyBorder="1" applyAlignment="1" applyProtection="1">
      <alignment horizontal="right"/>
      <protection locked="0"/>
    </xf>
    <xf numFmtId="39" fontId="10" fillId="0" borderId="79" xfId="71" applyNumberFormat="1" applyFont="1" applyBorder="1" applyAlignment="1" applyProtection="1">
      <alignment horizontal="center"/>
      <protection locked="0"/>
    </xf>
    <xf numFmtId="37" fontId="10" fillId="0" borderId="79" xfId="71" applyNumberFormat="1" applyFont="1" applyBorder="1" applyAlignment="1" applyProtection="1">
      <alignment horizontal="right"/>
      <protection locked="0"/>
    </xf>
    <xf numFmtId="0" fontId="10" fillId="0" borderId="79" xfId="71" applyFont="1" applyBorder="1" applyAlignment="1" applyProtection="1">
      <alignment horizontal="left" wrapText="1"/>
      <protection locked="0"/>
    </xf>
    <xf numFmtId="0" fontId="30" fillId="0" borderId="79" xfId="71" applyFont="1" applyBorder="1" applyAlignment="1" applyProtection="1">
      <alignment horizontal="left" wrapText="1"/>
      <protection locked="0"/>
    </xf>
    <xf numFmtId="0" fontId="51" fillId="0" borderId="79" xfId="71" applyFont="1" applyBorder="1"/>
    <xf numFmtId="167" fontId="30" fillId="0" borderId="79" xfId="71" applyNumberFormat="1" applyFont="1" applyBorder="1" applyAlignment="1" applyProtection="1">
      <alignment horizontal="right"/>
      <protection locked="0"/>
    </xf>
    <xf numFmtId="39" fontId="10" fillId="0" borderId="79" xfId="71" applyNumberFormat="1" applyFont="1" applyBorder="1" applyAlignment="1" applyProtection="1">
      <alignment horizontal="right"/>
      <protection locked="0"/>
    </xf>
    <xf numFmtId="39" fontId="10" fillId="0" borderId="128" xfId="71" applyNumberFormat="1" applyFont="1" applyBorder="1" applyAlignment="1" applyProtection="1">
      <alignment horizontal="center"/>
      <protection locked="0"/>
    </xf>
    <xf numFmtId="1" fontId="10" fillId="0" borderId="79" xfId="73" applyNumberFormat="1" applyFont="1" applyBorder="1" applyAlignment="1">
      <alignment horizontal="right"/>
      <protection locked="0"/>
    </xf>
    <xf numFmtId="49" fontId="68" fillId="0" borderId="79" xfId="71" applyNumberFormat="1" applyFont="1" applyBorder="1" applyAlignment="1" applyProtection="1">
      <alignment horizontal="left" wrapText="1"/>
      <protection locked="0"/>
    </xf>
    <xf numFmtId="0" fontId="68" fillId="0" borderId="79" xfId="71" applyFont="1" applyBorder="1" applyAlignment="1" applyProtection="1">
      <alignment horizontal="left" wrapText="1"/>
      <protection locked="0"/>
    </xf>
    <xf numFmtId="0" fontId="30" fillId="0" borderId="79" xfId="59" applyFont="1" applyBorder="1" applyAlignment="1" applyProtection="1">
      <alignment horizontal="left" vertical="center" wrapText="1"/>
      <protection locked="0"/>
    </xf>
    <xf numFmtId="167" fontId="30" fillId="0" borderId="79" xfId="71" applyNumberFormat="1" applyFont="1" applyBorder="1" applyAlignment="1" applyProtection="1">
      <alignment horizontal="right" wrapText="1"/>
      <protection locked="0"/>
    </xf>
    <xf numFmtId="4" fontId="10" fillId="0" borderId="79" xfId="71" applyNumberFormat="1" applyFont="1" applyBorder="1" applyAlignment="1" applyProtection="1">
      <alignment horizontal="right"/>
      <protection locked="0"/>
    </xf>
    <xf numFmtId="0" fontId="9" fillId="0" borderId="79" xfId="71" applyBorder="1" applyAlignment="1" applyProtection="1">
      <alignment horizontal="left" vertical="top"/>
      <protection locked="0"/>
    </xf>
    <xf numFmtId="37" fontId="10" fillId="0" borderId="79" xfId="3" applyNumberFormat="1" applyFont="1" applyBorder="1" applyAlignment="1" applyProtection="1">
      <alignment horizontal="right"/>
      <protection locked="0"/>
    </xf>
    <xf numFmtId="0" fontId="10" fillId="0" borderId="79" xfId="3" applyFont="1" applyBorder="1" applyAlignment="1" applyProtection="1">
      <alignment horizontal="left" wrapText="1"/>
      <protection locked="0"/>
    </xf>
    <xf numFmtId="167" fontId="10" fillId="0" borderId="79" xfId="3" applyNumberFormat="1" applyFont="1" applyBorder="1" applyAlignment="1" applyProtection="1">
      <alignment horizontal="right"/>
      <protection locked="0"/>
    </xf>
    <xf numFmtId="39" fontId="10" fillId="0" borderId="79" xfId="3" applyNumberFormat="1" applyFont="1" applyBorder="1" applyAlignment="1" applyProtection="1">
      <alignment horizontal="right"/>
      <protection locked="0"/>
    </xf>
    <xf numFmtId="39" fontId="10" fillId="0" borderId="79" xfId="3" applyNumberFormat="1" applyFont="1" applyBorder="1" applyAlignment="1" applyProtection="1">
      <alignment horizontal="center"/>
      <protection locked="0"/>
    </xf>
    <xf numFmtId="39" fontId="166" fillId="0" borderId="0" xfId="88" applyNumberFormat="1" applyFont="1" applyFill="1" applyBorder="1" applyAlignment="1" applyProtection="1">
      <alignment horizontal="center" vertical="center"/>
    </xf>
    <xf numFmtId="1" fontId="10" fillId="0" borderId="79" xfId="60" applyNumberFormat="1" applyFont="1" applyBorder="1" applyAlignment="1">
      <alignment horizontal="right" wrapText="1"/>
      <protection locked="0"/>
    </xf>
    <xf numFmtId="49" fontId="10" fillId="0" borderId="79" xfId="60" applyNumberFormat="1" applyFont="1" applyBorder="1" applyAlignment="1">
      <alignment horizontal="left" wrapText="1"/>
      <protection locked="0"/>
    </xf>
    <xf numFmtId="0" fontId="30" fillId="0" borderId="79" xfId="60" applyFont="1" applyBorder="1" applyAlignment="1">
      <alignment horizontal="left" wrapText="1"/>
      <protection locked="0"/>
    </xf>
    <xf numFmtId="0" fontId="30" fillId="0" borderId="79" xfId="37" applyFont="1" applyBorder="1" applyAlignment="1">
      <alignment horizontal="left" wrapText="1"/>
    </xf>
    <xf numFmtId="0" fontId="30" fillId="0" borderId="79" xfId="3" applyFont="1" applyBorder="1" applyAlignment="1" applyProtection="1">
      <alignment horizontal="left" wrapText="1"/>
      <protection locked="0"/>
    </xf>
    <xf numFmtId="167" fontId="30" fillId="0" borderId="79" xfId="3" applyNumberFormat="1" applyFont="1" applyBorder="1" applyAlignment="1" applyProtection="1">
      <alignment horizontal="right"/>
      <protection locked="0"/>
    </xf>
    <xf numFmtId="4" fontId="30" fillId="0" borderId="79" xfId="60" applyNumberFormat="1" applyFont="1" applyBorder="1" applyAlignment="1">
      <alignment horizontal="right"/>
      <protection locked="0"/>
    </xf>
    <xf numFmtId="39" fontId="10" fillId="0" borderId="79" xfId="60" applyNumberFormat="1" applyFont="1" applyBorder="1" applyAlignment="1">
      <alignment horizontal="center"/>
      <protection locked="0"/>
    </xf>
    <xf numFmtId="0" fontId="39" fillId="0" borderId="79" xfId="3" applyFont="1" applyBorder="1" applyAlignment="1" applyProtection="1">
      <alignment horizontal="left" wrapText="1"/>
      <protection locked="0"/>
    </xf>
    <xf numFmtId="167" fontId="39" fillId="0" borderId="79" xfId="3" applyNumberFormat="1" applyFont="1" applyBorder="1" applyAlignment="1" applyProtection="1">
      <alignment horizontal="right"/>
      <protection locked="0"/>
    </xf>
    <xf numFmtId="39" fontId="39" fillId="0" borderId="79" xfId="3" applyNumberFormat="1" applyFont="1" applyBorder="1" applyAlignment="1" applyProtection="1">
      <alignment horizontal="right"/>
      <protection locked="0"/>
    </xf>
    <xf numFmtId="0" fontId="98" fillId="0" borderId="79" xfId="48" applyFont="1" applyBorder="1" applyAlignment="1">
      <alignment horizontal="left" wrapText="1"/>
      <protection locked="0"/>
    </xf>
    <xf numFmtId="0" fontId="229" fillId="0" borderId="79" xfId="48" applyFont="1" applyBorder="1" applyAlignment="1">
      <alignment horizontal="left" vertical="center" wrapText="1"/>
      <protection locked="0"/>
    </xf>
    <xf numFmtId="0" fontId="74" fillId="0" borderId="79" xfId="48" quotePrefix="1" applyFont="1" applyBorder="1" applyAlignment="1" applyProtection="1">
      <alignment horizontal="left" wrapText="1"/>
    </xf>
    <xf numFmtId="167" fontId="30" fillId="0" borderId="79" xfId="48" applyNumberFormat="1" applyFont="1" applyBorder="1" applyAlignment="1">
      <alignment horizontal="right"/>
      <protection locked="0"/>
    </xf>
    <xf numFmtId="171" fontId="10" fillId="0" borderId="79" xfId="71" applyNumberFormat="1" applyFont="1" applyBorder="1" applyAlignment="1" applyProtection="1">
      <alignment horizontal="right"/>
      <protection locked="0"/>
    </xf>
    <xf numFmtId="0" fontId="13" fillId="0" borderId="79" xfId="71" applyFont="1" applyBorder="1" applyAlignment="1" applyProtection="1">
      <alignment horizontal="right" vertical="center"/>
      <protection locked="0"/>
    </xf>
    <xf numFmtId="37" fontId="30" fillId="0" borderId="79" xfId="71" applyNumberFormat="1" applyFont="1" applyBorder="1" applyAlignment="1" applyProtection="1">
      <alignment horizontal="right"/>
      <protection locked="0"/>
    </xf>
    <xf numFmtId="39" fontId="30" fillId="0" borderId="79" xfId="71" applyNumberFormat="1" applyFont="1" applyBorder="1" applyAlignment="1" applyProtection="1">
      <alignment horizontal="right"/>
      <protection locked="0"/>
    </xf>
    <xf numFmtId="175" fontId="45" fillId="0" borderId="0" xfId="72" applyNumberFormat="1" applyFont="1" applyFill="1" applyBorder="1" applyAlignment="1">
      <alignment horizontal="center" vertical="center"/>
      <protection locked="0"/>
    </xf>
    <xf numFmtId="37" fontId="10" fillId="0" borderId="79" xfId="35" applyNumberFormat="1" applyFont="1" applyBorder="1" applyAlignment="1">
      <alignment horizontal="right"/>
      <protection locked="0"/>
    </xf>
    <xf numFmtId="0" fontId="10" fillId="0" borderId="79" xfId="35" applyFont="1" applyBorder="1" applyAlignment="1">
      <alignment horizontal="left" wrapText="1"/>
      <protection locked="0"/>
    </xf>
    <xf numFmtId="0" fontId="74" fillId="0" borderId="79" xfId="35" applyFont="1" applyBorder="1" applyAlignment="1">
      <alignment horizontal="left" wrapText="1"/>
      <protection locked="0"/>
    </xf>
    <xf numFmtId="167" fontId="74" fillId="0" borderId="79" xfId="35" applyNumberFormat="1" applyFont="1" applyBorder="1" applyAlignment="1">
      <alignment horizontal="right"/>
      <protection locked="0"/>
    </xf>
    <xf numFmtId="39" fontId="10" fillId="0" borderId="79" xfId="35" applyNumberFormat="1" applyFont="1" applyBorder="1" applyAlignment="1">
      <alignment horizontal="right"/>
      <protection locked="0"/>
    </xf>
    <xf numFmtId="0" fontId="84" fillId="0" borderId="79" xfId="35" applyFont="1" applyBorder="1" applyAlignment="1">
      <alignment horizontal="center" vertical="center"/>
      <protection locked="0"/>
    </xf>
    <xf numFmtId="0" fontId="69" fillId="0" borderId="0" xfId="35" applyAlignment="1" applyProtection="1"/>
    <xf numFmtId="0" fontId="13" fillId="0" borderId="79" xfId="71" applyFont="1" applyBorder="1" applyAlignment="1" applyProtection="1">
      <alignment horizontal="center" vertical="top"/>
      <protection locked="0"/>
    </xf>
    <xf numFmtId="0" fontId="74" fillId="0" borderId="79" xfId="71" applyFont="1" applyBorder="1" applyAlignment="1" applyProtection="1">
      <alignment horizontal="left" wrapText="1"/>
      <protection locked="0"/>
    </xf>
    <xf numFmtId="37" fontId="10" fillId="0" borderId="79" xfId="60" applyNumberFormat="1" applyFont="1" applyBorder="1" applyAlignment="1" applyProtection="1">
      <alignment horizontal="right"/>
    </xf>
    <xf numFmtId="49" fontId="10" fillId="0" borderId="79" xfId="28" applyNumberFormat="1" applyFont="1" applyBorder="1" applyAlignment="1" applyProtection="1">
      <alignment horizontal="left" wrapText="1"/>
    </xf>
    <xf numFmtId="0" fontId="10" fillId="0" borderId="79" xfId="60" applyFont="1" applyBorder="1" applyAlignment="1" applyProtection="1">
      <alignment horizontal="left" wrapText="1"/>
    </xf>
    <xf numFmtId="39" fontId="10" fillId="0" borderId="79" xfId="60" applyNumberFormat="1" applyFont="1" applyBorder="1" applyAlignment="1" applyProtection="1">
      <alignment horizontal="right"/>
    </xf>
    <xf numFmtId="0" fontId="10" fillId="0" borderId="79" xfId="28" applyFont="1" applyBorder="1" applyAlignment="1" applyProtection="1">
      <alignment horizontal="left" vertical="center" wrapText="1"/>
    </xf>
    <xf numFmtId="167" fontId="74" fillId="0" borderId="79" xfId="28" applyNumberFormat="1" applyFont="1" applyBorder="1" applyAlignment="1" applyProtection="1">
      <alignment horizontal="right"/>
    </xf>
    <xf numFmtId="0" fontId="74" fillId="0" borderId="79" xfId="74" applyFont="1" applyBorder="1" applyAlignment="1" applyProtection="1">
      <alignment horizontal="left" wrapText="1"/>
    </xf>
    <xf numFmtId="167" fontId="10" fillId="0" borderId="79" xfId="60" applyNumberFormat="1" applyFont="1" applyBorder="1" applyAlignment="1" applyProtection="1">
      <alignment horizontal="left" wrapText="1"/>
    </xf>
    <xf numFmtId="0" fontId="71" fillId="0" borderId="0" xfId="91" applyFont="1" applyFill="1" applyBorder="1" applyAlignment="1" applyProtection="1">
      <alignment vertical="center"/>
    </xf>
    <xf numFmtId="0" fontId="30" fillId="0" borderId="79" xfId="83" applyFont="1" applyBorder="1" applyAlignment="1">
      <alignment horizontal="left" wrapText="1"/>
    </xf>
    <xf numFmtId="0" fontId="10" fillId="0" borderId="129" xfId="75" applyFont="1" applyBorder="1" applyAlignment="1" applyProtection="1">
      <alignment horizontal="left" wrapText="1"/>
      <protection locked="0"/>
    </xf>
    <xf numFmtId="0" fontId="30" fillId="0" borderId="79" xfId="75" applyFont="1" applyBorder="1" applyAlignment="1" applyProtection="1">
      <alignment horizontal="left" wrapText="1"/>
      <protection locked="0"/>
    </xf>
    <xf numFmtId="39" fontId="10" fillId="0" borderId="130" xfId="60" applyNumberFormat="1" applyFont="1" applyBorder="1" applyAlignment="1">
      <alignment horizontal="center"/>
      <protection locked="0"/>
    </xf>
    <xf numFmtId="167" fontId="10" fillId="0" borderId="21" xfId="71" applyNumberFormat="1" applyFont="1" applyBorder="1" applyAlignment="1">
      <alignment horizontal="right"/>
    </xf>
    <xf numFmtId="167" fontId="68" fillId="0" borderId="33" xfId="71" applyNumberFormat="1" applyFont="1" applyBorder="1" applyAlignment="1">
      <alignment horizontal="right"/>
    </xf>
    <xf numFmtId="167" fontId="68" fillId="0" borderId="0" xfId="71" applyNumberFormat="1" applyFont="1" applyAlignment="1">
      <alignment horizontal="right"/>
    </xf>
    <xf numFmtId="167" fontId="9" fillId="0" borderId="0" xfId="71" applyNumberFormat="1"/>
    <xf numFmtId="167" fontId="10" fillId="0" borderId="0" xfId="0" applyNumberFormat="1" applyFont="1" applyAlignment="1" applyProtection="1">
      <alignment horizontal="left"/>
    </xf>
    <xf numFmtId="0" fontId="30" fillId="0" borderId="129" xfId="0" applyFont="1" applyBorder="1" applyAlignment="1">
      <alignment horizontal="left" wrapText="1"/>
      <protection locked="0"/>
    </xf>
    <xf numFmtId="0" fontId="300" fillId="0" borderId="0" xfId="81" applyFont="1" applyFill="1" applyAlignment="1">
      <alignment horizontal="left" vertical="center"/>
      <protection locked="0"/>
    </xf>
    <xf numFmtId="0" fontId="10" fillId="0" borderId="129" xfId="0" applyFont="1" applyBorder="1" applyAlignment="1">
      <alignment horizontal="left" wrapText="1"/>
      <protection locked="0"/>
    </xf>
    <xf numFmtId="167" fontId="30" fillId="0" borderId="129" xfId="0" applyNumberFormat="1" applyFont="1" applyBorder="1" applyAlignment="1">
      <alignment horizontal="right"/>
      <protection locked="0"/>
    </xf>
    <xf numFmtId="39" fontId="10" fillId="0" borderId="129" xfId="0" applyNumberFormat="1" applyFont="1" applyBorder="1" applyAlignment="1">
      <alignment horizontal="right"/>
      <protection locked="0"/>
    </xf>
    <xf numFmtId="39" fontId="10" fillId="0" borderId="129" xfId="0" applyNumberFormat="1" applyFont="1" applyBorder="1" applyAlignment="1">
      <alignment horizontal="center"/>
      <protection locked="0"/>
    </xf>
    <xf numFmtId="167" fontId="10" fillId="0" borderId="129" xfId="0" applyNumberFormat="1" applyFont="1" applyBorder="1" applyAlignment="1">
      <alignment horizontal="right"/>
      <protection locked="0"/>
    </xf>
    <xf numFmtId="0" fontId="39" fillId="0" borderId="129" xfId="0" applyFont="1" applyBorder="1" applyAlignment="1">
      <alignment horizontal="left" wrapText="1"/>
      <protection locked="0"/>
    </xf>
    <xf numFmtId="4" fontId="10" fillId="0" borderId="129" xfId="0" applyNumberFormat="1" applyFont="1" applyBorder="1" applyAlignment="1">
      <alignment horizontal="right"/>
      <protection locked="0"/>
    </xf>
    <xf numFmtId="0" fontId="13" fillId="7" borderId="0" xfId="28" applyFill="1" applyAlignment="1">
      <alignment horizontal="left" vertical="top"/>
      <protection locked="0"/>
    </xf>
    <xf numFmtId="167" fontId="39" fillId="0" borderId="129" xfId="0" applyNumberFormat="1" applyFont="1" applyBorder="1" applyAlignment="1">
      <alignment horizontal="right"/>
      <protection locked="0"/>
    </xf>
    <xf numFmtId="0" fontId="93" fillId="0" borderId="0" xfId="72" applyFill="1" applyAlignment="1" applyProtection="1">
      <alignment horizontal="left" vertical="top"/>
      <protection locked="0"/>
    </xf>
    <xf numFmtId="0" fontId="13" fillId="7" borderId="0" xfId="63" applyFont="1" applyFill="1" applyAlignment="1" applyProtection="1">
      <alignment horizontal="left" vertical="top"/>
      <protection locked="0"/>
    </xf>
    <xf numFmtId="167" fontId="88" fillId="0" borderId="0" xfId="0" applyNumberFormat="1" applyFont="1" applyAlignment="1" applyProtection="1">
      <alignment horizontal="right"/>
    </xf>
    <xf numFmtId="167" fontId="10" fillId="0" borderId="21" xfId="0" applyNumberFormat="1" applyFont="1" applyBorder="1" applyAlignment="1" applyProtection="1">
      <alignment horizontal="right"/>
    </xf>
    <xf numFmtId="167" fontId="68" fillId="0" borderId="33" xfId="0" applyNumberFormat="1" applyFont="1" applyBorder="1" applyAlignment="1" applyProtection="1">
      <alignment horizontal="right"/>
    </xf>
    <xf numFmtId="167" fontId="68" fillId="0" borderId="0" xfId="0" applyNumberFormat="1" applyFont="1" applyAlignment="1" applyProtection="1">
      <alignment horizontal="right"/>
    </xf>
    <xf numFmtId="167" fontId="13" fillId="0" borderId="0" xfId="0" applyNumberFormat="1" applyFont="1" applyAlignment="1">
      <alignment vertical="center" wrapText="1"/>
      <protection locked="0"/>
    </xf>
    <xf numFmtId="49" fontId="21" fillId="0" borderId="131" xfId="8" applyNumberFormat="1" applyFont="1" applyBorder="1" applyAlignment="1">
      <alignment horizontal="left"/>
    </xf>
    <xf numFmtId="166" fontId="10" fillId="0" borderId="133" xfId="28" applyNumberFormat="1" applyFont="1" applyBorder="1" applyAlignment="1" applyProtection="1">
      <alignment horizontal="center" vertical="center"/>
    </xf>
    <xf numFmtId="166" fontId="10" fillId="0" borderId="134" xfId="28" applyNumberFormat="1" applyFont="1" applyBorder="1" applyAlignment="1" applyProtection="1">
      <alignment horizontal="center" vertical="center"/>
    </xf>
    <xf numFmtId="0" fontId="42" fillId="0" borderId="125" xfId="28" applyFont="1" applyBorder="1" applyAlignment="1" applyProtection="1">
      <alignment horizontal="center"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3" fillId="0" borderId="136" xfId="28" applyFont="1" applyBorder="1" applyAlignment="1" applyProtection="1">
      <alignment horizontal="left" vertical="center"/>
    </xf>
    <xf numFmtId="39" fontId="44" fillId="0" borderId="136" xfId="28" applyNumberFormat="1" applyFont="1" applyBorder="1" applyAlignment="1" applyProtection="1">
      <alignment horizontal="right" vertical="center"/>
    </xf>
    <xf numFmtId="4" fontId="39" fillId="0" borderId="125" xfId="45" applyNumberFormat="1" applyFont="1" applyBorder="1" applyAlignment="1">
      <alignment horizontal="right"/>
      <protection locked="0"/>
    </xf>
    <xf numFmtId="37" fontId="39" fillId="7" borderId="125" xfId="45" applyNumberFormat="1" applyFont="1" applyFill="1" applyBorder="1" applyAlignment="1">
      <alignment horizontal="right"/>
      <protection locked="0"/>
    </xf>
    <xf numFmtId="0" fontId="39" fillId="7" borderId="125" xfId="45" applyFont="1" applyFill="1" applyBorder="1" applyAlignment="1">
      <alignment horizontal="left" wrapText="1"/>
      <protection locked="0"/>
    </xf>
    <xf numFmtId="0" fontId="39" fillId="0" borderId="125" xfId="45" applyFont="1" applyBorder="1" applyAlignment="1">
      <alignment horizontal="left" wrapText="1"/>
      <protection locked="0"/>
    </xf>
    <xf numFmtId="2" fontId="39" fillId="0" borderId="125" xfId="45" applyNumberFormat="1" applyFont="1" applyBorder="1" applyAlignment="1">
      <alignment horizontal="right"/>
      <protection locked="0"/>
    </xf>
    <xf numFmtId="0" fontId="33" fillId="0" borderId="125" xfId="45" applyBorder="1" applyAlignment="1">
      <alignment vertical="top"/>
      <protection locked="0"/>
    </xf>
    <xf numFmtId="37" fontId="10" fillId="0" borderId="125" xfId="27" applyNumberFormat="1" applyFont="1" applyBorder="1" applyAlignment="1">
      <alignment horizontal="right"/>
      <protection locked="0"/>
    </xf>
    <xf numFmtId="0" fontId="10" fillId="0" borderId="125" xfId="38" applyFont="1" applyBorder="1" applyAlignment="1" applyProtection="1">
      <alignment horizontal="left" wrapText="1"/>
      <protection locked="0"/>
    </xf>
    <xf numFmtId="0" fontId="10" fillId="0" borderId="125" xfId="27" applyFont="1" applyBorder="1" applyAlignment="1">
      <alignment horizontal="left" wrapText="1"/>
      <protection locked="0"/>
    </xf>
    <xf numFmtId="167" fontId="10" fillId="0" borderId="125" xfId="27" applyNumberFormat="1" applyFont="1" applyBorder="1" applyAlignment="1">
      <alignment horizontal="right" wrapText="1"/>
      <protection locked="0"/>
    </xf>
    <xf numFmtId="39" fontId="10" fillId="0" borderId="125" xfId="27" applyNumberFormat="1" applyFont="1" applyBorder="1" applyAlignment="1">
      <alignment horizontal="right"/>
      <protection locked="0"/>
    </xf>
    <xf numFmtId="4" fontId="10" fillId="0" borderId="125" xfId="31" applyNumberFormat="1" applyFont="1" applyBorder="1" applyAlignment="1" applyProtection="1">
      <alignment horizontal="right"/>
      <protection locked="0"/>
    </xf>
    <xf numFmtId="39" fontId="10" fillId="0" borderId="125" xfId="40" applyNumberFormat="1" applyFont="1" applyBorder="1" applyAlignment="1">
      <alignment horizontal="center"/>
      <protection locked="0"/>
    </xf>
    <xf numFmtId="37" fontId="10" fillId="0" borderId="125" xfId="38" applyNumberFormat="1" applyFont="1" applyBorder="1" applyAlignment="1" applyProtection="1">
      <alignment horizontal="right"/>
      <protection locked="0"/>
    </xf>
    <xf numFmtId="39" fontId="10" fillId="0" borderId="125" xfId="38" applyNumberFormat="1" applyFont="1" applyBorder="1" applyAlignment="1" applyProtection="1">
      <alignment horizontal="right"/>
      <protection locked="0"/>
    </xf>
    <xf numFmtId="1" fontId="10" fillId="0" borderId="125" xfId="49" applyNumberFormat="1" applyFont="1" applyBorder="1" applyAlignment="1" applyProtection="1">
      <alignment horizontal="right"/>
      <protection locked="0"/>
    </xf>
    <xf numFmtId="0" fontId="10" fillId="0" borderId="125" xfId="49" applyFont="1" applyBorder="1" applyAlignment="1" applyProtection="1">
      <alignment horizontal="left" wrapText="1"/>
      <protection locked="0"/>
    </xf>
    <xf numFmtId="4" fontId="10" fillId="0" borderId="125" xfId="49" applyNumberFormat="1" applyFont="1" applyBorder="1" applyAlignment="1" applyProtection="1">
      <alignment horizontal="right"/>
      <protection locked="0"/>
    </xf>
    <xf numFmtId="39" fontId="10" fillId="0" borderId="125" xfId="94" applyNumberFormat="1" applyFont="1" applyBorder="1" applyAlignment="1" applyProtection="1">
      <alignment horizontal="center"/>
      <protection locked="0"/>
    </xf>
    <xf numFmtId="1" fontId="10" fillId="0" borderId="125" xfId="60" applyNumberFormat="1" applyFont="1" applyBorder="1" applyAlignment="1">
      <alignment horizontal="right" wrapText="1"/>
      <protection locked="0"/>
    </xf>
    <xf numFmtId="49" fontId="10" fillId="0" borderId="125" xfId="60" applyNumberFormat="1" applyFont="1" applyBorder="1" applyAlignment="1">
      <alignment horizontal="left" wrapText="1"/>
      <protection locked="0"/>
    </xf>
    <xf numFmtId="0" fontId="30" fillId="0" borderId="125" xfId="60" applyFont="1" applyBorder="1" applyAlignment="1">
      <alignment horizontal="left" wrapText="1"/>
      <protection locked="0"/>
    </xf>
    <xf numFmtId="0" fontId="30" fillId="0" borderId="125" xfId="49" applyFont="1" applyBorder="1" applyAlignment="1" applyProtection="1">
      <alignment horizontal="left" wrapText="1"/>
      <protection locked="0"/>
    </xf>
    <xf numFmtId="167" fontId="30" fillId="0" borderId="125" xfId="60" applyNumberFormat="1" applyFont="1" applyBorder="1" applyAlignment="1">
      <alignment horizontal="right"/>
      <protection locked="0"/>
    </xf>
    <xf numFmtId="4" fontId="30" fillId="0" borderId="125" xfId="60" applyNumberFormat="1" applyFont="1" applyBorder="1" applyAlignment="1">
      <alignment horizontal="right"/>
      <protection locked="0"/>
    </xf>
    <xf numFmtId="39" fontId="10" fillId="0" borderId="125" xfId="60" applyNumberFormat="1" applyFont="1" applyBorder="1" applyAlignment="1">
      <alignment horizontal="center"/>
      <protection locked="0"/>
    </xf>
    <xf numFmtId="37" fontId="10" fillId="0" borderId="125" xfId="45" applyNumberFormat="1" applyFont="1" applyBorder="1" applyAlignment="1">
      <alignment horizontal="right"/>
      <protection locked="0"/>
    </xf>
    <xf numFmtId="0" fontId="10" fillId="0" borderId="125" xfId="45" applyFont="1" applyBorder="1" applyAlignment="1">
      <alignment horizontal="left" wrapText="1"/>
      <protection locked="0"/>
    </xf>
    <xf numFmtId="4" fontId="10" fillId="0" borderId="125" xfId="45" applyNumberFormat="1" applyFont="1" applyBorder="1" applyAlignment="1">
      <alignment horizontal="right"/>
      <protection locked="0"/>
    </xf>
    <xf numFmtId="37" fontId="153" fillId="0" borderId="125" xfId="45" applyNumberFormat="1" applyFont="1" applyBorder="1" applyAlignment="1">
      <alignment horizontal="right"/>
      <protection locked="0"/>
    </xf>
    <xf numFmtId="0" fontId="153" fillId="0" borderId="125" xfId="45" applyFont="1" applyBorder="1" applyAlignment="1">
      <alignment horizontal="left" wrapText="1"/>
      <protection locked="0"/>
    </xf>
    <xf numFmtId="0" fontId="30" fillId="0" borderId="125" xfId="45" applyFont="1" applyBorder="1" applyAlignment="1">
      <alignment horizontal="left" wrapText="1"/>
      <protection locked="0"/>
    </xf>
    <xf numFmtId="167" fontId="30" fillId="0" borderId="125" xfId="45" applyNumberFormat="1" applyFont="1" applyBorder="1" applyAlignment="1">
      <alignment horizontal="right"/>
      <protection locked="0"/>
    </xf>
    <xf numFmtId="4" fontId="153" fillId="0" borderId="125" xfId="45" applyNumberFormat="1" applyFont="1" applyBorder="1" applyAlignment="1">
      <alignment horizontal="right"/>
      <protection locked="0"/>
    </xf>
    <xf numFmtId="39" fontId="11" fillId="0" borderId="125" xfId="45" applyNumberFormat="1" applyFont="1" applyBorder="1" applyAlignment="1">
      <alignment horizontal="center"/>
      <protection locked="0"/>
    </xf>
    <xf numFmtId="49" fontId="10" fillId="0" borderId="125" xfId="40" applyNumberFormat="1" applyFont="1" applyBorder="1" applyAlignment="1">
      <alignment horizontal="right" wrapText="1"/>
      <protection locked="0"/>
    </xf>
    <xf numFmtId="49" fontId="10" fillId="0" borderId="125" xfId="40" applyNumberFormat="1" applyFont="1" applyBorder="1" applyAlignment="1">
      <alignment horizontal="left" wrapText="1"/>
      <protection locked="0"/>
    </xf>
    <xf numFmtId="0" fontId="10" fillId="0" borderId="125" xfId="40" applyFont="1" applyBorder="1" applyAlignment="1">
      <alignment horizontal="left" wrapText="1"/>
      <protection locked="0"/>
    </xf>
    <xf numFmtId="39" fontId="10" fillId="0" borderId="125" xfId="40" applyNumberFormat="1" applyFont="1" applyBorder="1" applyAlignment="1">
      <alignment horizontal="right"/>
      <protection locked="0"/>
    </xf>
    <xf numFmtId="0" fontId="30" fillId="0" borderId="125" xfId="40" applyFont="1" applyBorder="1" applyAlignment="1">
      <alignment horizontal="left" wrapText="1"/>
      <protection locked="0"/>
    </xf>
    <xf numFmtId="39" fontId="10" fillId="0" borderId="125" xfId="45" applyNumberFormat="1" applyFont="1" applyBorder="1" applyAlignment="1">
      <alignment horizontal="center"/>
      <protection locked="0"/>
    </xf>
    <xf numFmtId="37" fontId="10" fillId="0" borderId="125" xfId="73" applyNumberFormat="1" applyFont="1" applyBorder="1" applyAlignment="1">
      <alignment horizontal="right"/>
      <protection locked="0"/>
    </xf>
    <xf numFmtId="49" fontId="10" fillId="0" borderId="125" xfId="48" applyNumberFormat="1" applyFont="1" applyBorder="1" applyAlignment="1">
      <alignment horizontal="left"/>
      <protection locked="0"/>
    </xf>
    <xf numFmtId="0" fontId="10" fillId="0" borderId="125" xfId="48" applyFont="1" applyBorder="1" applyAlignment="1">
      <alignment horizontal="left" wrapText="1"/>
      <protection locked="0"/>
    </xf>
    <xf numFmtId="39" fontId="10" fillId="0" borderId="125" xfId="48" applyNumberFormat="1" applyFont="1" applyBorder="1" applyAlignment="1">
      <alignment horizontal="right"/>
      <protection locked="0"/>
    </xf>
    <xf numFmtId="0" fontId="74" fillId="0" borderId="125" xfId="48" applyFont="1" applyBorder="1" applyAlignment="1">
      <alignment horizontal="left" wrapText="1"/>
      <protection locked="0"/>
    </xf>
    <xf numFmtId="167" fontId="10" fillId="0" borderId="125" xfId="48" applyNumberFormat="1" applyFont="1" applyBorder="1" applyAlignment="1">
      <alignment horizontal="right"/>
      <protection locked="0"/>
    </xf>
    <xf numFmtId="2" fontId="10" fillId="0" borderId="125" xfId="48" applyNumberFormat="1" applyFont="1" applyBorder="1" applyAlignment="1">
      <alignment horizontal="center"/>
      <protection locked="0"/>
    </xf>
    <xf numFmtId="167" fontId="30" fillId="0" borderId="125" xfId="48" applyNumberFormat="1" applyFont="1" applyBorder="1" applyAlignment="1">
      <alignment horizontal="right"/>
      <protection locked="0"/>
    </xf>
    <xf numFmtId="49" fontId="10" fillId="0" borderId="125" xfId="45" applyNumberFormat="1" applyFont="1" applyBorder="1" applyAlignment="1">
      <alignment horizontal="right" wrapText="1"/>
      <protection locked="0"/>
    </xf>
    <xf numFmtId="49" fontId="10" fillId="0" borderId="125" xfId="45" applyNumberFormat="1" applyFont="1" applyBorder="1" applyAlignment="1">
      <alignment horizontal="left" wrapText="1"/>
      <protection locked="0"/>
    </xf>
    <xf numFmtId="37" fontId="10" fillId="0" borderId="125" xfId="28" applyNumberFormat="1" applyFont="1" applyBorder="1" applyAlignment="1">
      <alignment horizontal="right"/>
      <protection locked="0"/>
    </xf>
    <xf numFmtId="49" fontId="10" fillId="0" borderId="125" xfId="28" applyNumberFormat="1" applyFont="1" applyBorder="1" applyAlignment="1">
      <alignment horizontal="left" wrapText="1"/>
      <protection locked="0"/>
    </xf>
    <xf numFmtId="0" fontId="81" fillId="0" borderId="125" xfId="3" applyFont="1" applyBorder="1" applyAlignment="1" applyProtection="1">
      <alignment horizontal="left" wrapText="1"/>
      <protection locked="0"/>
    </xf>
    <xf numFmtId="0" fontId="39" fillId="0" borderId="125" xfId="28" applyFont="1" applyBorder="1" applyAlignment="1">
      <alignment horizontal="left" wrapText="1"/>
      <protection locked="0"/>
    </xf>
    <xf numFmtId="167" fontId="81" fillId="0" borderId="125" xfId="3" applyNumberFormat="1" applyFont="1" applyBorder="1" applyAlignment="1" applyProtection="1">
      <alignment horizontal="right"/>
      <protection locked="0"/>
    </xf>
    <xf numFmtId="4" fontId="10" fillId="0" borderId="125" xfId="28" applyNumberFormat="1" applyFont="1" applyBorder="1" applyAlignment="1">
      <alignment horizontal="right"/>
      <protection locked="0"/>
    </xf>
    <xf numFmtId="39" fontId="10" fillId="0" borderId="125" xfId="28" applyNumberFormat="1" applyFont="1" applyBorder="1" applyAlignment="1">
      <alignment horizontal="center"/>
      <protection locked="0"/>
    </xf>
    <xf numFmtId="0" fontId="74" fillId="0" borderId="125" xfId="3" applyFont="1" applyBorder="1" applyAlignment="1" applyProtection="1">
      <alignment horizontal="left" wrapText="1"/>
      <protection locked="0"/>
    </xf>
    <xf numFmtId="39" fontId="74" fillId="0" borderId="125" xfId="12" applyNumberFormat="1" applyFont="1" applyBorder="1" applyAlignment="1">
      <alignment horizontal="center"/>
      <protection locked="0"/>
    </xf>
    <xf numFmtId="0" fontId="30" fillId="0" borderId="125" xfId="38" applyFont="1" applyBorder="1" applyAlignment="1" applyProtection="1">
      <alignment horizontal="left" wrapText="1"/>
      <protection locked="0"/>
    </xf>
    <xf numFmtId="1" fontId="74" fillId="0" borderId="125" xfId="38" applyNumberFormat="1" applyFont="1" applyBorder="1" applyAlignment="1" applyProtection="1">
      <alignment horizontal="right"/>
      <protection locked="0"/>
    </xf>
    <xf numFmtId="0" fontId="74" fillId="0" borderId="125" xfId="38" applyFont="1" applyBorder="1" applyAlignment="1" applyProtection="1">
      <alignment horizontal="left" wrapText="1"/>
      <protection locked="0"/>
    </xf>
    <xf numFmtId="167" fontId="30" fillId="0" borderId="125" xfId="38" applyNumberFormat="1" applyFont="1" applyBorder="1" applyAlignment="1" applyProtection="1">
      <alignment horizontal="right"/>
      <protection locked="0"/>
    </xf>
    <xf numFmtId="2" fontId="30" fillId="0" borderId="125" xfId="38" applyNumberFormat="1" applyFont="1" applyBorder="1" applyAlignment="1" applyProtection="1">
      <alignment horizontal="right"/>
      <protection locked="0"/>
    </xf>
    <xf numFmtId="39" fontId="10" fillId="0" borderId="125" xfId="38" applyNumberFormat="1" applyFont="1" applyBorder="1" applyAlignment="1" applyProtection="1">
      <alignment horizontal="center"/>
      <protection locked="0"/>
    </xf>
    <xf numFmtId="37" fontId="10" fillId="0" borderId="125" xfId="26" applyNumberFormat="1" applyFont="1" applyBorder="1" applyAlignment="1" applyProtection="1">
      <alignment horizontal="right"/>
      <protection locked="0"/>
    </xf>
    <xf numFmtId="49" fontId="10" fillId="0" borderId="125" xfId="26" applyNumberFormat="1" applyFont="1" applyBorder="1" applyAlignment="1" applyProtection="1">
      <alignment horizontal="left" wrapText="1"/>
      <protection locked="0"/>
    </xf>
    <xf numFmtId="0" fontId="10" fillId="0" borderId="125" xfId="26" applyFont="1" applyBorder="1" applyAlignment="1" applyProtection="1">
      <alignment horizontal="left" wrapText="1"/>
      <protection locked="0"/>
    </xf>
    <xf numFmtId="39" fontId="10" fillId="0" borderId="125" xfId="26" applyNumberFormat="1" applyFont="1" applyBorder="1" applyAlignment="1" applyProtection="1">
      <alignment horizontal="center"/>
      <protection locked="0"/>
    </xf>
    <xf numFmtId="0" fontId="30" fillId="0" borderId="125" xfId="26" applyFont="1" applyBorder="1" applyAlignment="1" applyProtection="1">
      <alignment horizontal="left" wrapText="1"/>
      <protection locked="0"/>
    </xf>
    <xf numFmtId="167" fontId="10" fillId="0" borderId="125" xfId="26" applyNumberFormat="1" applyFont="1" applyBorder="1" applyAlignment="1" applyProtection="1">
      <alignment horizontal="right"/>
      <protection locked="0"/>
    </xf>
    <xf numFmtId="4" fontId="10" fillId="0" borderId="125" xfId="26" applyNumberFormat="1" applyFont="1" applyBorder="1" applyAlignment="1" applyProtection="1">
      <alignment horizontal="right"/>
      <protection locked="0"/>
    </xf>
    <xf numFmtId="37" fontId="10" fillId="0" borderId="125" xfId="78" applyNumberFormat="1" applyFont="1" applyBorder="1" applyAlignment="1" applyProtection="1">
      <alignment horizontal="right"/>
      <protection locked="0"/>
    </xf>
    <xf numFmtId="49" fontId="10" fillId="0" borderId="125" xfId="78" applyNumberFormat="1" applyFont="1" applyBorder="1" applyAlignment="1" applyProtection="1">
      <alignment horizontal="left" wrapText="1"/>
      <protection locked="0"/>
    </xf>
    <xf numFmtId="0" fontId="39" fillId="0" borderId="125" xfId="78" applyFont="1" applyBorder="1" applyAlignment="1" applyProtection="1">
      <alignment horizontal="left" wrapText="1"/>
      <protection locked="0"/>
    </xf>
    <xf numFmtId="39" fontId="10" fillId="0" borderId="125" xfId="78" applyNumberFormat="1" applyFont="1" applyBorder="1" applyAlignment="1" applyProtection="1">
      <alignment horizontal="right"/>
      <protection locked="0"/>
    </xf>
    <xf numFmtId="39" fontId="10" fillId="0" borderId="125" xfId="78" applyNumberFormat="1" applyFont="1" applyBorder="1" applyAlignment="1" applyProtection="1">
      <alignment horizontal="center"/>
      <protection locked="0"/>
    </xf>
    <xf numFmtId="37" fontId="68" fillId="0" borderId="125" xfId="26" applyNumberFormat="1" applyFont="1" applyBorder="1" applyAlignment="1" applyProtection="1">
      <alignment horizontal="right"/>
      <protection locked="0"/>
    </xf>
    <xf numFmtId="49" fontId="68" fillId="0" borderId="125" xfId="26" applyNumberFormat="1" applyFont="1" applyBorder="1" applyAlignment="1" applyProtection="1">
      <alignment horizontal="left" wrapText="1"/>
      <protection locked="0"/>
    </xf>
    <xf numFmtId="0" fontId="68" fillId="0" borderId="125" xfId="26" applyFont="1" applyBorder="1" applyAlignment="1" applyProtection="1">
      <alignment horizontal="left" wrapText="1"/>
      <protection locked="0"/>
    </xf>
    <xf numFmtId="167" fontId="30" fillId="0" borderId="125" xfId="26" applyNumberFormat="1" applyFont="1" applyBorder="1" applyAlignment="1" applyProtection="1">
      <alignment horizontal="right" wrapText="1"/>
      <protection locked="0"/>
    </xf>
    <xf numFmtId="0" fontId="14" fillId="0" borderId="125" xfId="26" applyBorder="1" applyAlignment="1" applyProtection="1">
      <alignment horizontal="left" vertical="top"/>
      <protection locked="0"/>
    </xf>
    <xf numFmtId="4" fontId="30" fillId="5" borderId="125" xfId="38" applyNumberFormat="1" applyFont="1" applyFill="1" applyBorder="1" applyAlignment="1" applyProtection="1">
      <alignment horizontal="right"/>
      <protection locked="0"/>
    </xf>
    <xf numFmtId="37" fontId="74" fillId="0" borderId="125" xfId="26" applyNumberFormat="1" applyFont="1" applyBorder="1" applyAlignment="1" applyProtection="1">
      <alignment horizontal="right"/>
      <protection locked="0"/>
    </xf>
    <xf numFmtId="0" fontId="74" fillId="0" borderId="125" xfId="26" applyFont="1" applyBorder="1" applyAlignment="1" applyProtection="1">
      <alignment horizontal="left" wrapText="1"/>
      <protection locked="0"/>
    </xf>
    <xf numFmtId="167" fontId="30" fillId="0" borderId="125" xfId="26" applyNumberFormat="1" applyFont="1" applyBorder="1" applyAlignment="1" applyProtection="1">
      <alignment horizontal="right"/>
      <protection locked="0"/>
    </xf>
    <xf numFmtId="4" fontId="30" fillId="5" borderId="125" xfId="26" applyNumberFormat="1" applyFont="1" applyFill="1" applyBorder="1" applyAlignment="1" applyProtection="1">
      <alignment horizontal="right"/>
      <protection locked="0"/>
    </xf>
    <xf numFmtId="0" fontId="30" fillId="0" borderId="125" xfId="78" applyFont="1" applyBorder="1" applyAlignment="1" applyProtection="1">
      <alignment horizontal="left" wrapText="1"/>
      <protection locked="0"/>
    </xf>
    <xf numFmtId="37" fontId="74" fillId="0" borderId="125" xfId="39" applyNumberFormat="1" applyFont="1" applyBorder="1" applyAlignment="1">
      <alignment horizontal="right"/>
      <protection locked="0"/>
    </xf>
    <xf numFmtId="49" fontId="68" fillId="0" borderId="125" xfId="39" applyNumberFormat="1" applyFont="1" applyBorder="1" applyAlignment="1">
      <alignment horizontal="left" wrapText="1"/>
      <protection locked="0"/>
    </xf>
    <xf numFmtId="0" fontId="68" fillId="0" borderId="125" xfId="39" applyFont="1" applyBorder="1" applyAlignment="1">
      <alignment horizontal="left" wrapText="1"/>
      <protection locked="0"/>
    </xf>
    <xf numFmtId="0" fontId="30" fillId="0" borderId="125" xfId="12" applyFont="1" applyBorder="1" applyAlignment="1">
      <alignment horizontal="left" wrapText="1"/>
      <protection locked="0"/>
    </xf>
    <xf numFmtId="0" fontId="74" fillId="0" borderId="125" xfId="39" applyFont="1" applyBorder="1" applyAlignment="1">
      <alignment horizontal="left" wrapText="1"/>
      <protection locked="0"/>
    </xf>
    <xf numFmtId="167" fontId="30" fillId="0" borderId="125" xfId="39" applyNumberFormat="1" applyFont="1" applyBorder="1" applyAlignment="1">
      <alignment horizontal="right" wrapText="1"/>
      <protection locked="0"/>
    </xf>
    <xf numFmtId="4" fontId="30" fillId="0" borderId="125" xfId="39" applyNumberFormat="1" applyFont="1" applyBorder="1" applyAlignment="1">
      <alignment horizontal="right"/>
      <protection locked="0"/>
    </xf>
    <xf numFmtId="0" fontId="86" fillId="0" borderId="125" xfId="39" applyFont="1" applyBorder="1" applyAlignment="1">
      <alignment horizontal="left" vertical="top"/>
      <protection locked="0"/>
    </xf>
    <xf numFmtId="37" fontId="68" fillId="0" borderId="125" xfId="78" applyNumberFormat="1" applyFont="1" applyBorder="1" applyAlignment="1" applyProtection="1">
      <alignment horizontal="right"/>
      <protection locked="0"/>
    </xf>
    <xf numFmtId="49" fontId="68" fillId="0" borderId="125" xfId="78" applyNumberFormat="1" applyFont="1" applyBorder="1" applyAlignment="1" applyProtection="1">
      <alignment horizontal="left" wrapText="1"/>
      <protection locked="0"/>
    </xf>
    <xf numFmtId="0" fontId="68" fillId="0" borderId="125" xfId="78" applyFont="1" applyBorder="1" applyAlignment="1" applyProtection="1">
      <alignment horizontal="left" wrapText="1"/>
      <protection locked="0"/>
    </xf>
    <xf numFmtId="0" fontId="30" fillId="0" borderId="125" xfId="68" applyFont="1" applyBorder="1" applyAlignment="1">
      <alignment horizontal="left" vertical="center" wrapText="1"/>
      <protection locked="0"/>
    </xf>
    <xf numFmtId="167" fontId="30" fillId="0" borderId="125" xfId="78" applyNumberFormat="1" applyFont="1" applyBorder="1" applyAlignment="1" applyProtection="1">
      <alignment horizontal="right"/>
      <protection locked="0"/>
    </xf>
    <xf numFmtId="4" fontId="10" fillId="0" borderId="125" xfId="78" applyNumberFormat="1" applyFont="1" applyBorder="1" applyAlignment="1" applyProtection="1">
      <alignment horizontal="right"/>
      <protection locked="0"/>
    </xf>
    <xf numFmtId="0" fontId="70" fillId="0" borderId="125" xfId="78" applyFont="1" applyBorder="1" applyAlignment="1" applyProtection="1">
      <alignment horizontal="right" vertical="center"/>
      <protection locked="0"/>
    </xf>
    <xf numFmtId="1" fontId="39" fillId="0" borderId="125" xfId="53" applyNumberFormat="1" applyFont="1" applyBorder="1" applyAlignment="1" applyProtection="1">
      <alignment horizontal="right"/>
      <protection locked="0"/>
    </xf>
    <xf numFmtId="49" fontId="39" fillId="0" borderId="125" xfId="53" applyNumberFormat="1" applyFont="1" applyBorder="1" applyAlignment="1" applyProtection="1">
      <alignment horizontal="left" wrapText="1"/>
      <protection locked="0"/>
    </xf>
    <xf numFmtId="0" fontId="39" fillId="0" borderId="125" xfId="53" applyFont="1" applyBorder="1" applyAlignment="1" applyProtection="1">
      <alignment horizontal="left" wrapText="1"/>
      <protection locked="0"/>
    </xf>
    <xf numFmtId="167" fontId="39" fillId="0" borderId="125" xfId="53" applyNumberFormat="1" applyFont="1" applyBorder="1" applyAlignment="1" applyProtection="1">
      <alignment horizontal="right"/>
      <protection locked="0"/>
    </xf>
    <xf numFmtId="4" fontId="39" fillId="0" borderId="125" xfId="53" applyNumberFormat="1" applyFont="1" applyBorder="1" applyAlignment="1" applyProtection="1">
      <alignment horizontal="right"/>
      <protection locked="0"/>
    </xf>
    <xf numFmtId="0" fontId="12" fillId="0" borderId="125" xfId="53" applyBorder="1" applyAlignment="1" applyProtection="1">
      <alignment vertical="top"/>
      <protection locked="0"/>
    </xf>
    <xf numFmtId="1" fontId="10" fillId="0" borderId="125" xfId="53" applyNumberFormat="1" applyFont="1" applyBorder="1" applyAlignment="1" applyProtection="1">
      <alignment horizontal="right"/>
      <protection locked="0"/>
    </xf>
    <xf numFmtId="49" fontId="10" fillId="0" borderId="125" xfId="53" applyNumberFormat="1" applyFont="1" applyBorder="1" applyAlignment="1" applyProtection="1">
      <alignment horizontal="left" wrapText="1"/>
      <protection locked="0"/>
    </xf>
    <xf numFmtId="0" fontId="10" fillId="0" borderId="125" xfId="53" applyFont="1" applyBorder="1" applyAlignment="1" applyProtection="1">
      <alignment horizontal="left" wrapText="1"/>
      <protection locked="0"/>
    </xf>
    <xf numFmtId="4" fontId="10" fillId="0" borderId="125" xfId="53" applyNumberFormat="1" applyFont="1" applyBorder="1" applyAlignment="1" applyProtection="1">
      <alignment horizontal="right"/>
      <protection locked="0"/>
    </xf>
    <xf numFmtId="0" fontId="30" fillId="0" borderId="125" xfId="53" applyFont="1" applyBorder="1" applyAlignment="1" applyProtection="1">
      <alignment horizontal="left" wrapText="1"/>
      <protection locked="0"/>
    </xf>
    <xf numFmtId="167" fontId="10" fillId="0" borderId="125" xfId="53" applyNumberFormat="1" applyFont="1" applyBorder="1" applyAlignment="1" applyProtection="1">
      <alignment horizontal="right"/>
      <protection locked="0"/>
    </xf>
    <xf numFmtId="39" fontId="10" fillId="0" borderId="125" xfId="95" applyNumberFormat="1" applyFont="1" applyBorder="1" applyAlignment="1" applyProtection="1">
      <alignment horizontal="center"/>
      <protection locked="0"/>
    </xf>
    <xf numFmtId="167" fontId="30" fillId="0" borderId="125" xfId="53" applyNumberFormat="1" applyFont="1" applyBorder="1" applyAlignment="1" applyProtection="1">
      <alignment horizontal="right"/>
      <protection locked="0"/>
    </xf>
    <xf numFmtId="37" fontId="39" fillId="0" borderId="125" xfId="40" applyNumberFormat="1" applyFont="1" applyBorder="1" applyAlignment="1">
      <alignment horizontal="right"/>
      <protection locked="0"/>
    </xf>
    <xf numFmtId="0" fontId="39" fillId="0" borderId="125" xfId="40" applyFont="1" applyBorder="1" applyAlignment="1">
      <alignment horizontal="left" wrapText="1"/>
      <protection locked="0"/>
    </xf>
    <xf numFmtId="167" fontId="39" fillId="0" borderId="125" xfId="40" applyNumberFormat="1" applyFont="1" applyBorder="1" applyAlignment="1">
      <alignment horizontal="right"/>
      <protection locked="0"/>
    </xf>
    <xf numFmtId="4" fontId="39" fillId="0" borderId="125" xfId="40" applyNumberFormat="1" applyFont="1" applyBorder="1" applyAlignment="1">
      <alignment horizontal="right"/>
      <protection locked="0"/>
    </xf>
    <xf numFmtId="0" fontId="69" fillId="0" borderId="125" xfId="40" applyBorder="1" applyAlignment="1">
      <alignment horizontal="left" vertical="top"/>
      <protection locked="0"/>
    </xf>
    <xf numFmtId="37" fontId="87" fillId="0" borderId="125" xfId="40" applyNumberFormat="1" applyFont="1" applyBorder="1" applyAlignment="1">
      <alignment horizontal="right"/>
      <protection locked="0"/>
    </xf>
    <xf numFmtId="49" fontId="87" fillId="0" borderId="125" xfId="40" applyNumberFormat="1" applyFont="1" applyBorder="1" applyAlignment="1">
      <alignment horizontal="left" wrapText="1"/>
      <protection locked="0"/>
    </xf>
    <xf numFmtId="0" fontId="124" fillId="0" borderId="125" xfId="40" applyFont="1" applyBorder="1" applyAlignment="1">
      <alignment horizontal="right" wrapText="1"/>
      <protection locked="0"/>
    </xf>
    <xf numFmtId="167" fontId="68" fillId="0" borderId="125" xfId="40" applyNumberFormat="1" applyFont="1" applyBorder="1" applyAlignment="1">
      <alignment horizontal="right"/>
      <protection locked="0"/>
    </xf>
    <xf numFmtId="4" fontId="10" fillId="0" borderId="125" xfId="40" applyNumberFormat="1" applyFont="1" applyBorder="1" applyAlignment="1">
      <alignment horizontal="right"/>
      <protection locked="0"/>
    </xf>
    <xf numFmtId="0" fontId="96" fillId="0" borderId="125" xfId="40" applyFont="1" applyBorder="1" applyAlignment="1">
      <alignment horizontal="right" vertical="center"/>
      <protection locked="0"/>
    </xf>
    <xf numFmtId="37" fontId="74" fillId="0" borderId="125" xfId="3" applyNumberFormat="1" applyFont="1" applyBorder="1" applyAlignment="1" applyProtection="1">
      <alignment horizontal="right"/>
      <protection locked="0"/>
    </xf>
    <xf numFmtId="9" fontId="74" fillId="0" borderId="125" xfId="3" applyNumberFormat="1" applyFont="1" applyBorder="1" applyAlignment="1" applyProtection="1">
      <alignment horizontal="left" wrapText="1"/>
      <protection locked="0"/>
    </xf>
    <xf numFmtId="167" fontId="30" fillId="0" borderId="125" xfId="3" applyNumberFormat="1" applyFont="1" applyBorder="1" applyAlignment="1" applyProtection="1">
      <alignment horizontal="right"/>
      <protection locked="0"/>
    </xf>
    <xf numFmtId="4" fontId="74" fillId="5" borderId="125" xfId="3" applyNumberFormat="1" applyFont="1" applyFill="1" applyBorder="1" applyAlignment="1" applyProtection="1">
      <alignment horizontal="right"/>
      <protection locked="0"/>
    </xf>
    <xf numFmtId="37" fontId="139" fillId="0" borderId="125" xfId="40" applyNumberFormat="1" applyFont="1" applyBorder="1" applyAlignment="1">
      <alignment horizontal="right"/>
      <protection locked="0"/>
    </xf>
    <xf numFmtId="0" fontId="139" fillId="0" borderId="125" xfId="3" applyFont="1" applyBorder="1" applyAlignment="1" applyProtection="1">
      <alignment horizontal="left" wrapText="1"/>
      <protection locked="0"/>
    </xf>
    <xf numFmtId="0" fontId="59" fillId="0" borderId="125" xfId="40" applyFont="1" applyBorder="1" applyAlignment="1">
      <alignment horizontal="left" wrapText="1"/>
      <protection locked="0"/>
    </xf>
    <xf numFmtId="0" fontId="139" fillId="0" borderId="125" xfId="40" applyFont="1" applyBorder="1" applyAlignment="1">
      <alignment horizontal="left" wrapText="1"/>
      <protection locked="0"/>
    </xf>
    <xf numFmtId="167" fontId="59" fillId="0" borderId="125" xfId="40" applyNumberFormat="1" applyFont="1" applyBorder="1" applyAlignment="1">
      <alignment horizontal="right"/>
      <protection locked="0"/>
    </xf>
    <xf numFmtId="4" fontId="59" fillId="5" borderId="125" xfId="40" applyNumberFormat="1" applyFont="1" applyFill="1" applyBorder="1" applyAlignment="1">
      <alignment horizontal="right"/>
      <protection locked="0"/>
    </xf>
    <xf numFmtId="39" fontId="139" fillId="0" borderId="125" xfId="12" applyNumberFormat="1" applyFont="1" applyBorder="1" applyAlignment="1">
      <alignment horizontal="center"/>
      <protection locked="0"/>
    </xf>
    <xf numFmtId="37" fontId="74" fillId="0" borderId="125" xfId="40" applyNumberFormat="1" applyFont="1" applyBorder="1" applyAlignment="1">
      <alignment horizontal="right"/>
      <protection locked="0"/>
    </xf>
    <xf numFmtId="0" fontId="98" fillId="0" borderId="125" xfId="40" applyFont="1" applyBorder="1" applyAlignment="1">
      <alignment horizontal="left" wrapText="1"/>
      <protection locked="0"/>
    </xf>
    <xf numFmtId="0" fontId="74" fillId="0" borderId="125" xfId="40" applyFont="1" applyBorder="1" applyAlignment="1">
      <alignment horizontal="left" wrapText="1"/>
      <protection locked="0"/>
    </xf>
    <xf numFmtId="167" fontId="30" fillId="0" borderId="125" xfId="40" applyNumberFormat="1" applyFont="1" applyBorder="1" applyAlignment="1">
      <alignment horizontal="right"/>
      <protection locked="0"/>
    </xf>
    <xf numFmtId="4" fontId="74" fillId="5" borderId="125" xfId="40" applyNumberFormat="1" applyFont="1" applyFill="1" applyBorder="1" applyAlignment="1">
      <alignment horizontal="right"/>
      <protection locked="0"/>
    </xf>
    <xf numFmtId="37" fontId="10" fillId="0" borderId="125" xfId="40" applyNumberFormat="1" applyFont="1" applyBorder="1" applyAlignment="1">
      <alignment horizontal="right"/>
      <protection locked="0"/>
    </xf>
    <xf numFmtId="0" fontId="10" fillId="0" borderId="125" xfId="40" applyFont="1" applyBorder="1" applyAlignment="1">
      <alignment horizontal="right" vertical="center"/>
      <protection locked="0"/>
    </xf>
    <xf numFmtId="2" fontId="30" fillId="0" borderId="125" xfId="40" applyNumberFormat="1" applyFont="1" applyBorder="1" applyAlignment="1">
      <alignment horizontal="left"/>
      <protection locked="0"/>
    </xf>
    <xf numFmtId="37" fontId="39" fillId="0" borderId="125" xfId="45" applyNumberFormat="1" applyFont="1" applyBorder="1" applyAlignment="1">
      <alignment horizontal="right"/>
      <protection locked="0"/>
    </xf>
    <xf numFmtId="0" fontId="30" fillId="0" borderId="125" xfId="44" applyFont="1" applyBorder="1" applyAlignment="1">
      <alignment horizontal="left" wrapText="1"/>
      <protection locked="0"/>
    </xf>
    <xf numFmtId="49" fontId="10" fillId="0" borderId="125" xfId="45" applyNumberFormat="1" applyFont="1" applyBorder="1" applyAlignment="1">
      <alignment horizontal="center"/>
      <protection locked="0"/>
    </xf>
    <xf numFmtId="0" fontId="40" fillId="0" borderId="125" xfId="53" applyFont="1" applyBorder="1" applyAlignment="1" applyProtection="1">
      <alignment horizontal="left" vertical="top"/>
      <protection locked="0"/>
    </xf>
    <xf numFmtId="1" fontId="197" fillId="0" borderId="125" xfId="53" applyNumberFormat="1" applyFont="1" applyBorder="1" applyAlignment="1" applyProtection="1">
      <alignment horizontal="right"/>
      <protection locked="0"/>
    </xf>
    <xf numFmtId="49" fontId="197" fillId="0" borderId="125" xfId="53" applyNumberFormat="1" applyFont="1" applyBorder="1" applyAlignment="1" applyProtection="1">
      <alignment horizontal="left" wrapText="1"/>
      <protection locked="0"/>
    </xf>
    <xf numFmtId="0" fontId="197" fillId="0" borderId="125" xfId="53" applyFont="1" applyBorder="1" applyAlignment="1" applyProtection="1">
      <alignment horizontal="left" wrapText="1"/>
      <protection locked="0"/>
    </xf>
    <xf numFmtId="167" fontId="30" fillId="0" borderId="125" xfId="49" applyNumberFormat="1" applyFont="1" applyBorder="1" applyAlignment="1" applyProtection="1">
      <alignment horizontal="right"/>
      <protection locked="0"/>
    </xf>
    <xf numFmtId="0" fontId="10" fillId="0" borderId="125" xfId="45" applyFont="1" applyBorder="1" applyAlignment="1" applyProtection="1">
      <alignment horizontal="left" wrapText="1"/>
    </xf>
    <xf numFmtId="0" fontId="10" fillId="0" borderId="125" xfId="45" applyFont="1" applyBorder="1" applyAlignment="1" applyProtection="1">
      <alignment horizontal="left" shrinkToFit="1"/>
    </xf>
    <xf numFmtId="39" fontId="39" fillId="0" borderId="125" xfId="45" applyNumberFormat="1" applyFont="1" applyBorder="1" applyAlignment="1">
      <alignment horizontal="center"/>
      <protection locked="0"/>
    </xf>
    <xf numFmtId="1" fontId="10" fillId="0" borderId="125" xfId="53" applyNumberFormat="1" applyFont="1" applyBorder="1" applyAlignment="1" applyProtection="1">
      <alignment horizontal="right" wrapText="1"/>
      <protection locked="0"/>
    </xf>
    <xf numFmtId="39" fontId="10" fillId="0" borderId="125" xfId="53" applyNumberFormat="1" applyFont="1" applyBorder="1" applyAlignment="1" applyProtection="1">
      <alignment horizontal="center"/>
      <protection locked="0"/>
    </xf>
    <xf numFmtId="37" fontId="39" fillId="0" borderId="125" xfId="49" applyNumberFormat="1" applyFont="1" applyBorder="1" applyAlignment="1" applyProtection="1">
      <alignment horizontal="right"/>
      <protection locked="0"/>
    </xf>
    <xf numFmtId="0" fontId="39" fillId="0" borderId="125" xfId="49" applyFont="1" applyBorder="1" applyAlignment="1" applyProtection="1">
      <alignment horizontal="left" wrapText="1"/>
      <protection locked="0"/>
    </xf>
    <xf numFmtId="167" fontId="39" fillId="0" borderId="125" xfId="49" applyNumberFormat="1" applyFont="1" applyBorder="1" applyAlignment="1" applyProtection="1">
      <alignment horizontal="right"/>
      <protection locked="0"/>
    </xf>
    <xf numFmtId="39" fontId="39" fillId="0" borderId="125" xfId="49" applyNumberFormat="1" applyFont="1" applyBorder="1" applyAlignment="1" applyProtection="1">
      <alignment horizontal="right"/>
      <protection locked="0"/>
    </xf>
    <xf numFmtId="0" fontId="40" fillId="0" borderId="125" xfId="49" applyBorder="1" applyAlignment="1" applyProtection="1">
      <alignment horizontal="left" vertical="top"/>
      <protection locked="0"/>
    </xf>
    <xf numFmtId="1" fontId="10" fillId="0" borderId="125" xfId="73" applyNumberFormat="1" applyFont="1" applyBorder="1" applyAlignment="1">
      <alignment horizontal="right"/>
      <protection locked="0"/>
    </xf>
    <xf numFmtId="4" fontId="10" fillId="0" borderId="129" xfId="80" applyNumberFormat="1" applyFont="1" applyBorder="1" applyAlignment="1">
      <alignment horizontal="right"/>
      <protection locked="0"/>
    </xf>
    <xf numFmtId="39" fontId="10" fillId="0" borderId="129" xfId="80" applyNumberFormat="1" applyFont="1" applyBorder="1" applyAlignment="1">
      <alignment horizontal="center"/>
      <protection locked="0"/>
    </xf>
    <xf numFmtId="0" fontId="10" fillId="0" borderId="129" xfId="80" applyFont="1" applyBorder="1" applyAlignment="1">
      <alignment horizontal="left" wrapText="1"/>
      <protection locked="0"/>
    </xf>
    <xf numFmtId="0" fontId="10" fillId="0" borderId="129" xfId="82" applyFont="1" applyBorder="1" applyAlignment="1" applyProtection="1">
      <alignment horizontal="left" wrapText="1"/>
    </xf>
    <xf numFmtId="1" fontId="10" fillId="0" borderId="129" xfId="80" applyNumberFormat="1" applyFont="1" applyBorder="1" applyAlignment="1">
      <alignment horizontal="right"/>
      <protection locked="0"/>
    </xf>
    <xf numFmtId="0" fontId="11" fillId="0" borderId="129" xfId="80" applyFont="1" applyBorder="1" applyAlignment="1" applyProtection="1"/>
    <xf numFmtId="0" fontId="30" fillId="0" borderId="129" xfId="82" applyFont="1" applyBorder="1" applyAlignment="1">
      <alignment horizontal="left" wrapText="1"/>
      <protection locked="0"/>
    </xf>
    <xf numFmtId="167" fontId="30" fillId="0" borderId="129" xfId="82" applyNumberFormat="1" applyFont="1" applyBorder="1" applyAlignment="1">
      <alignment horizontal="right"/>
      <protection locked="0"/>
    </xf>
    <xf numFmtId="37" fontId="10" fillId="0" borderId="129" xfId="82" applyNumberFormat="1" applyFont="1" applyBorder="1" applyAlignment="1">
      <alignment horizontal="right"/>
      <protection locked="0"/>
    </xf>
    <xf numFmtId="0" fontId="10" fillId="0" borderId="129" xfId="82" applyFont="1" applyBorder="1" applyAlignment="1">
      <alignment horizontal="left" wrapText="1"/>
      <protection locked="0"/>
    </xf>
    <xf numFmtId="4" fontId="10" fillId="0" borderId="129" xfId="82" applyNumberFormat="1" applyFont="1" applyBorder="1" applyAlignment="1">
      <alignment horizontal="right"/>
      <protection locked="0"/>
    </xf>
    <xf numFmtId="167" fontId="10" fillId="0" borderId="129" xfId="80" applyNumberFormat="1" applyFont="1" applyBorder="1" applyAlignment="1">
      <alignment horizontal="right" wrapText="1"/>
      <protection locked="0"/>
    </xf>
    <xf numFmtId="49" fontId="51" fillId="0" borderId="129" xfId="31" applyNumberFormat="1" applyFont="1" applyBorder="1" applyAlignment="1">
      <alignment horizontal="left"/>
    </xf>
    <xf numFmtId="0" fontId="10" fillId="0" borderId="129" xfId="31" applyFont="1" applyBorder="1" applyAlignment="1" applyProtection="1">
      <alignment horizontal="left" wrapText="1"/>
      <protection locked="0"/>
    </xf>
    <xf numFmtId="0" fontId="76" fillId="0" borderId="129" xfId="80" applyFont="1" applyBorder="1" applyAlignment="1" applyProtection="1">
      <alignment vertical="center" wrapText="1"/>
    </xf>
    <xf numFmtId="4" fontId="74" fillId="0" borderId="129" xfId="80" applyNumberFormat="1" applyFont="1" applyBorder="1" applyAlignment="1">
      <alignment horizontal="right" wrapText="1"/>
      <protection locked="0"/>
    </xf>
    <xf numFmtId="1" fontId="39" fillId="0" borderId="125" xfId="49" applyNumberFormat="1" applyFont="1" applyBorder="1" applyAlignment="1" applyProtection="1">
      <alignment horizontal="right"/>
      <protection locked="0"/>
    </xf>
    <xf numFmtId="4" fontId="39" fillId="0" borderId="125" xfId="49" applyNumberFormat="1" applyFont="1" applyBorder="1" applyAlignment="1" applyProtection="1">
      <alignment horizontal="right"/>
      <protection locked="0"/>
    </xf>
    <xf numFmtId="39" fontId="10" fillId="0" borderId="125" xfId="49" applyNumberFormat="1" applyFont="1" applyBorder="1" applyAlignment="1" applyProtection="1">
      <alignment horizontal="center"/>
      <protection locked="0"/>
    </xf>
    <xf numFmtId="1" fontId="10" fillId="0" borderId="125" xfId="49" applyNumberFormat="1" applyFont="1" applyBorder="1" applyAlignment="1">
      <alignment horizontal="right"/>
    </xf>
    <xf numFmtId="0" fontId="10" fillId="0" borderId="125" xfId="44" applyFont="1" applyBorder="1" applyAlignment="1" applyProtection="1">
      <alignment horizontal="left" wrapText="1"/>
    </xf>
    <xf numFmtId="0" fontId="10" fillId="0" borderId="125" xfId="49" applyFont="1" applyBorder="1" applyAlignment="1">
      <alignment horizontal="left" wrapText="1"/>
    </xf>
    <xf numFmtId="4" fontId="10" fillId="0" borderId="125" xfId="49" applyNumberFormat="1" applyFont="1" applyBorder="1" applyAlignment="1">
      <alignment horizontal="right"/>
    </xf>
    <xf numFmtId="37" fontId="68" fillId="0" borderId="125" xfId="49" applyNumberFormat="1" applyFont="1" applyBorder="1" applyAlignment="1" applyProtection="1">
      <alignment horizontal="right"/>
      <protection locked="0"/>
    </xf>
    <xf numFmtId="0" fontId="68" fillId="0" borderId="125" xfId="49" applyFont="1" applyBorder="1" applyAlignment="1" applyProtection="1">
      <alignment horizontal="left" wrapText="1"/>
      <protection locked="0"/>
    </xf>
    <xf numFmtId="39" fontId="68" fillId="0" borderId="125" xfId="49" applyNumberFormat="1" applyFont="1" applyBorder="1" applyAlignment="1" applyProtection="1">
      <alignment horizontal="right"/>
      <protection locked="0"/>
    </xf>
    <xf numFmtId="167" fontId="68" fillId="0" borderId="125" xfId="49" applyNumberFormat="1" applyFont="1" applyBorder="1" applyAlignment="1" applyProtection="1">
      <alignment horizontal="left" wrapText="1"/>
      <protection locked="0"/>
    </xf>
    <xf numFmtId="0" fontId="40" fillId="0" borderId="125" xfId="49" applyBorder="1" applyAlignment="1" applyProtection="1">
      <alignment horizontal="right" vertical="top"/>
      <protection locked="0"/>
    </xf>
    <xf numFmtId="167" fontId="10" fillId="0" borderId="125" xfId="49" applyNumberFormat="1" applyFont="1" applyBorder="1" applyAlignment="1">
      <alignment horizontal="right"/>
    </xf>
    <xf numFmtId="0" fontId="8" fillId="0" borderId="0" xfId="49" applyFont="1" applyAlignment="1" applyProtection="1">
      <alignment horizontal="left" vertical="center"/>
      <protection locked="0"/>
    </xf>
    <xf numFmtId="0" fontId="8" fillId="0" borderId="0" xfId="49" applyFont="1" applyAlignment="1" applyProtection="1">
      <alignment horizontal="left" vertical="top"/>
      <protection locked="0"/>
    </xf>
    <xf numFmtId="1" fontId="68" fillId="0" borderId="125" xfId="49" applyNumberFormat="1" applyFont="1" applyBorder="1" applyAlignment="1">
      <alignment horizontal="right"/>
    </xf>
    <xf numFmtId="0" fontId="68" fillId="0" borderId="125" xfId="49" applyFont="1" applyBorder="1" applyAlignment="1">
      <alignment horizontal="left" wrapText="1"/>
    </xf>
    <xf numFmtId="0" fontId="30" fillId="0" borderId="125" xfId="49" applyFont="1" applyBorder="1" applyAlignment="1">
      <alignment horizontal="left" wrapText="1"/>
    </xf>
    <xf numFmtId="167" fontId="74" fillId="0" borderId="125" xfId="49" applyNumberFormat="1" applyFont="1" applyBorder="1" applyAlignment="1">
      <alignment horizontal="right"/>
    </xf>
    <xf numFmtId="0" fontId="40" fillId="0" borderId="125" xfId="49" applyBorder="1" applyAlignment="1">
      <alignment horizontal="left" vertical="top"/>
    </xf>
    <xf numFmtId="167" fontId="30" fillId="0" borderId="125" xfId="49" applyNumberFormat="1" applyFont="1" applyBorder="1" applyAlignment="1">
      <alignment horizontal="right"/>
    </xf>
    <xf numFmtId="0" fontId="8" fillId="0" borderId="0" xfId="45" applyFont="1" applyAlignment="1">
      <alignment horizontal="left" vertical="top"/>
      <protection locked="0"/>
    </xf>
    <xf numFmtId="0" fontId="8" fillId="0" borderId="0" xfId="94"/>
    <xf numFmtId="0" fontId="106" fillId="0" borderId="0" xfId="94" applyFont="1" applyAlignment="1" applyProtection="1">
      <alignment horizontal="left" vertical="center"/>
      <protection locked="0"/>
    </xf>
    <xf numFmtId="167" fontId="39" fillId="0" borderId="125" xfId="45" applyNumberFormat="1" applyFont="1" applyBorder="1" applyAlignment="1">
      <alignment horizontal="right"/>
      <protection locked="0"/>
    </xf>
    <xf numFmtId="167" fontId="10" fillId="0" borderId="125" xfId="94" applyNumberFormat="1" applyFont="1" applyBorder="1" applyAlignment="1" applyProtection="1">
      <alignment horizontal="right"/>
      <protection locked="0"/>
    </xf>
    <xf numFmtId="1" fontId="10" fillId="0" borderId="125" xfId="94" applyNumberFormat="1" applyFont="1" applyBorder="1" applyAlignment="1" applyProtection="1">
      <alignment horizontal="right"/>
      <protection locked="0"/>
    </xf>
    <xf numFmtId="49" fontId="10" fillId="0" borderId="125" xfId="94" applyNumberFormat="1" applyFont="1" applyBorder="1" applyAlignment="1" applyProtection="1">
      <alignment horizontal="left" wrapText="1"/>
      <protection locked="0"/>
    </xf>
    <xf numFmtId="0" fontId="10" fillId="0" borderId="125" xfId="94" applyFont="1" applyBorder="1" applyAlignment="1" applyProtection="1">
      <alignment horizontal="left" wrapText="1"/>
      <protection locked="0"/>
    </xf>
    <xf numFmtId="4" fontId="10" fillId="0" borderId="125" xfId="94" applyNumberFormat="1" applyFont="1" applyBorder="1" applyAlignment="1" applyProtection="1">
      <alignment horizontal="right"/>
      <protection locked="0"/>
    </xf>
    <xf numFmtId="4" fontId="78" fillId="0" borderId="0" xfId="94" applyNumberFormat="1" applyFont="1" applyAlignment="1" applyProtection="1">
      <alignment horizontal="center" vertical="center"/>
      <protection locked="0"/>
    </xf>
    <xf numFmtId="4" fontId="79" fillId="0" borderId="0" xfId="94" applyNumberFormat="1" applyFont="1" applyAlignment="1" applyProtection="1">
      <alignment horizontal="center" vertical="center"/>
      <protection locked="0"/>
    </xf>
    <xf numFmtId="0" fontId="8" fillId="0" borderId="0" xfId="94" applyAlignment="1" applyProtection="1">
      <alignment horizontal="left" vertical="top"/>
      <protection locked="0"/>
    </xf>
    <xf numFmtId="0" fontId="30" fillId="0" borderId="125" xfId="94" applyFont="1" applyBorder="1" applyAlignment="1" applyProtection="1">
      <alignment horizontal="left" wrapText="1"/>
      <protection locked="0"/>
    </xf>
    <xf numFmtId="37" fontId="68" fillId="0" borderId="125" xfId="94" applyNumberFormat="1" applyFont="1" applyBorder="1" applyAlignment="1" applyProtection="1">
      <alignment horizontal="right"/>
      <protection locked="0"/>
    </xf>
    <xf numFmtId="49" fontId="68" fillId="0" borderId="125" xfId="94" applyNumberFormat="1" applyFont="1" applyBorder="1" applyAlignment="1" applyProtection="1">
      <alignment horizontal="left" wrapText="1"/>
      <protection locked="0"/>
    </xf>
    <xf numFmtId="0" fontId="68" fillId="0" borderId="125" xfId="94" applyFont="1" applyBorder="1" applyAlignment="1" applyProtection="1">
      <alignment horizontal="left" wrapText="1"/>
      <protection locked="0"/>
    </xf>
    <xf numFmtId="167" fontId="30" fillId="0" borderId="125" xfId="94" applyNumberFormat="1" applyFont="1" applyBorder="1" applyAlignment="1" applyProtection="1">
      <alignment horizontal="right"/>
      <protection locked="0"/>
    </xf>
    <xf numFmtId="0" fontId="8" fillId="0" borderId="125" xfId="94" applyBorder="1" applyAlignment="1" applyProtection="1">
      <alignment horizontal="left" vertical="top"/>
      <protection locked="0"/>
    </xf>
    <xf numFmtId="1" fontId="74" fillId="0" borderId="125" xfId="94" applyNumberFormat="1" applyFont="1" applyBorder="1" applyAlignment="1" applyProtection="1">
      <alignment horizontal="right"/>
      <protection locked="0"/>
    </xf>
    <xf numFmtId="0" fontId="74" fillId="0" borderId="125" xfId="94" applyFont="1" applyBorder="1" applyAlignment="1" applyProtection="1">
      <alignment horizontal="left" wrapText="1"/>
      <protection locked="0"/>
    </xf>
    <xf numFmtId="4" fontId="30" fillId="5" borderId="125" xfId="94" applyNumberFormat="1" applyFont="1" applyFill="1" applyBorder="1" applyAlignment="1" applyProtection="1">
      <alignment horizontal="right"/>
      <protection locked="0"/>
    </xf>
    <xf numFmtId="0" fontId="8" fillId="0" borderId="0" xfId="94" applyAlignment="1" applyProtection="1">
      <alignment horizontal="left" vertical="center"/>
      <protection locked="0"/>
    </xf>
    <xf numFmtId="167" fontId="10" fillId="0" borderId="125" xfId="94" applyNumberFormat="1" applyFont="1" applyBorder="1" applyAlignment="1" applyProtection="1">
      <alignment horizontal="left" wrapText="1"/>
      <protection locked="0"/>
    </xf>
    <xf numFmtId="4" fontId="10" fillId="7" borderId="125" xfId="94" applyNumberFormat="1" applyFont="1" applyFill="1" applyBorder="1" applyAlignment="1" applyProtection="1">
      <alignment horizontal="right"/>
      <protection locked="0"/>
    </xf>
    <xf numFmtId="39" fontId="10" fillId="7" borderId="125" xfId="94" applyNumberFormat="1" applyFont="1" applyFill="1" applyBorder="1" applyAlignment="1" applyProtection="1">
      <alignment horizontal="center"/>
      <protection locked="0"/>
    </xf>
    <xf numFmtId="2" fontId="30" fillId="0" borderId="125" xfId="94" applyNumberFormat="1" applyFont="1" applyBorder="1" applyAlignment="1" applyProtection="1">
      <alignment horizontal="right"/>
      <protection locked="0"/>
    </xf>
    <xf numFmtId="37" fontId="39" fillId="0" borderId="125" xfId="94" applyNumberFormat="1" applyFont="1" applyBorder="1" applyAlignment="1" applyProtection="1">
      <alignment horizontal="right"/>
      <protection locked="0"/>
    </xf>
    <xf numFmtId="0" fontId="39" fillId="0" borderId="125" xfId="94" applyFont="1" applyBorder="1" applyAlignment="1" applyProtection="1">
      <alignment horizontal="left" wrapText="1"/>
      <protection locked="0"/>
    </xf>
    <xf numFmtId="167" fontId="39" fillId="0" borderId="125" xfId="94" applyNumberFormat="1" applyFont="1" applyBorder="1" applyAlignment="1" applyProtection="1">
      <alignment horizontal="right"/>
      <protection locked="0"/>
    </xf>
    <xf numFmtId="39" fontId="39" fillId="0" borderId="125" xfId="94" applyNumberFormat="1" applyFont="1" applyBorder="1" applyAlignment="1" applyProtection="1">
      <alignment horizontal="right"/>
      <protection locked="0"/>
    </xf>
    <xf numFmtId="0" fontId="8" fillId="0" borderId="0" xfId="94" applyAlignment="1" applyProtection="1">
      <alignment horizontal="right" vertical="top"/>
      <protection locked="0"/>
    </xf>
    <xf numFmtId="167" fontId="74" fillId="0" borderId="125" xfId="53" applyNumberFormat="1" applyFont="1" applyBorder="1" applyAlignment="1" applyProtection="1">
      <alignment horizontal="right"/>
      <protection locked="0"/>
    </xf>
    <xf numFmtId="1" fontId="74" fillId="0" borderId="125" xfId="53" applyNumberFormat="1" applyFont="1" applyBorder="1" applyAlignment="1" applyProtection="1">
      <alignment horizontal="right"/>
      <protection locked="0"/>
    </xf>
    <xf numFmtId="49" fontId="74" fillId="0" borderId="125" xfId="53" applyNumberFormat="1" applyFont="1" applyBorder="1" applyAlignment="1" applyProtection="1">
      <alignment horizontal="left" wrapText="1"/>
      <protection locked="0"/>
    </xf>
    <xf numFmtId="0" fontId="74" fillId="0" borderId="125" xfId="53" applyFont="1" applyBorder="1" applyAlignment="1" applyProtection="1">
      <alignment horizontal="left" wrapText="1"/>
      <protection locked="0"/>
    </xf>
    <xf numFmtId="4" fontId="74" fillId="0" borderId="125" xfId="53" applyNumberFormat="1" applyFont="1" applyBorder="1" applyAlignment="1" applyProtection="1">
      <alignment horizontal="right"/>
      <protection locked="0"/>
    </xf>
    <xf numFmtId="39" fontId="74" fillId="0" borderId="125" xfId="95" applyNumberFormat="1" applyFont="1" applyBorder="1" applyAlignment="1" applyProtection="1">
      <alignment horizontal="center"/>
      <protection locked="0"/>
    </xf>
    <xf numFmtId="1" fontId="68" fillId="0" borderId="125" xfId="53" applyNumberFormat="1" applyFont="1" applyBorder="1" applyAlignment="1" applyProtection="1">
      <alignment horizontal="right"/>
      <protection locked="0"/>
    </xf>
    <xf numFmtId="49" fontId="68" fillId="0" borderId="125" xfId="53" applyNumberFormat="1" applyFont="1" applyBorder="1" applyAlignment="1" applyProtection="1">
      <alignment horizontal="left" wrapText="1"/>
      <protection locked="0"/>
    </xf>
    <xf numFmtId="0" fontId="68" fillId="0" borderId="125" xfId="53" applyFont="1" applyBorder="1" applyAlignment="1" applyProtection="1">
      <alignment horizontal="left" wrapText="1"/>
      <protection locked="0"/>
    </xf>
    <xf numFmtId="167" fontId="68" fillId="0" borderId="125" xfId="53" applyNumberFormat="1" applyFont="1" applyBorder="1" applyAlignment="1" applyProtection="1">
      <alignment horizontal="right"/>
      <protection locked="0"/>
    </xf>
    <xf numFmtId="4" fontId="68" fillId="0" borderId="125" xfId="53" applyNumberFormat="1" applyFont="1" applyBorder="1" applyAlignment="1" applyProtection="1">
      <alignment horizontal="right"/>
      <protection locked="0"/>
    </xf>
    <xf numFmtId="167" fontId="10" fillId="0" borderId="125" xfId="53" applyNumberFormat="1" applyFont="1" applyBorder="1" applyProtection="1">
      <protection locked="0"/>
    </xf>
    <xf numFmtId="167" fontId="74" fillId="0" borderId="125" xfId="53" applyNumberFormat="1" applyFont="1" applyBorder="1" applyProtection="1">
      <protection locked="0"/>
    </xf>
    <xf numFmtId="1" fontId="30" fillId="0" borderId="125" xfId="53" applyNumberFormat="1" applyFont="1" applyBorder="1" applyAlignment="1" applyProtection="1">
      <alignment horizontal="right"/>
      <protection locked="0"/>
    </xf>
    <xf numFmtId="49" fontId="30" fillId="0" borderId="125" xfId="53" applyNumberFormat="1" applyFont="1" applyBorder="1" applyAlignment="1" applyProtection="1">
      <alignment horizontal="left" wrapText="1"/>
      <protection locked="0"/>
    </xf>
    <xf numFmtId="0" fontId="136" fillId="0" borderId="125" xfId="53" applyFont="1" applyBorder="1" applyAlignment="1" applyProtection="1">
      <alignment horizontal="center" vertical="center" wrapText="1"/>
      <protection locked="0"/>
    </xf>
    <xf numFmtId="4" fontId="30" fillId="0" borderId="125" xfId="53" applyNumberFormat="1" applyFont="1" applyBorder="1" applyAlignment="1" applyProtection="1">
      <alignment horizontal="right"/>
      <protection locked="0"/>
    </xf>
    <xf numFmtId="0" fontId="12" fillId="0" borderId="125" xfId="53" applyBorder="1" applyAlignment="1" applyProtection="1">
      <alignment horizontal="center" vertical="top"/>
      <protection locked="0"/>
    </xf>
    <xf numFmtId="0" fontId="74" fillId="0" borderId="125" xfId="44" applyFont="1" applyBorder="1" applyAlignment="1">
      <alignment horizontal="left" wrapText="1"/>
      <protection locked="0"/>
    </xf>
    <xf numFmtId="37" fontId="30" fillId="0" borderId="125" xfId="49" applyNumberFormat="1" applyFont="1" applyBorder="1" applyAlignment="1" applyProtection="1">
      <alignment horizontal="right"/>
      <protection locked="0"/>
    </xf>
    <xf numFmtId="39" fontId="30" fillId="0" borderId="125" xfId="49" applyNumberFormat="1" applyFont="1" applyBorder="1" applyAlignment="1" applyProtection="1">
      <alignment horizontal="right"/>
      <protection locked="0"/>
    </xf>
    <xf numFmtId="0" fontId="40" fillId="0" borderId="125" xfId="49" applyBorder="1" applyAlignment="1" applyProtection="1">
      <alignment horizontal="center" vertical="top"/>
      <protection locked="0"/>
    </xf>
    <xf numFmtId="39" fontId="39" fillId="0" borderId="125" xfId="40" applyNumberFormat="1" applyFont="1" applyBorder="1" applyAlignment="1">
      <alignment horizontal="right"/>
      <protection locked="0"/>
    </xf>
    <xf numFmtId="37" fontId="10" fillId="0" borderId="125" xfId="3" applyNumberFormat="1" applyFont="1" applyBorder="1" applyAlignment="1" applyProtection="1">
      <alignment horizontal="right"/>
      <protection locked="0"/>
    </xf>
    <xf numFmtId="0" fontId="10" fillId="0" borderId="125" xfId="3" applyFont="1" applyBorder="1" applyAlignment="1" applyProtection="1">
      <alignment horizontal="left" wrapText="1"/>
      <protection locked="0"/>
    </xf>
    <xf numFmtId="39" fontId="10" fillId="0" borderId="125" xfId="3" applyNumberFormat="1" applyFont="1" applyBorder="1" applyAlignment="1" applyProtection="1">
      <alignment horizontal="right"/>
      <protection locked="0"/>
    </xf>
    <xf numFmtId="39" fontId="10" fillId="0" borderId="125" xfId="3" applyNumberFormat="1" applyFont="1" applyBorder="1" applyAlignment="1" applyProtection="1">
      <alignment horizontal="center"/>
      <protection locked="0"/>
    </xf>
    <xf numFmtId="37" fontId="98" fillId="0" borderId="125" xfId="94" applyNumberFormat="1" applyFont="1" applyBorder="1" applyAlignment="1" applyProtection="1">
      <alignment horizontal="right"/>
      <protection locked="0"/>
    </xf>
    <xf numFmtId="0" fontId="98" fillId="0" borderId="125" xfId="94" applyFont="1" applyBorder="1" applyAlignment="1" applyProtection="1">
      <alignment horizontal="left" wrapText="1"/>
      <protection locked="0"/>
    </xf>
    <xf numFmtId="167" fontId="30" fillId="0" borderId="125" xfId="94" applyNumberFormat="1" applyFont="1" applyBorder="1" applyAlignment="1" applyProtection="1">
      <alignment horizontal="right" wrapText="1"/>
      <protection locked="0"/>
    </xf>
    <xf numFmtId="39" fontId="98" fillId="0" borderId="125" xfId="94" applyNumberFormat="1" applyFont="1" applyBorder="1" applyAlignment="1" applyProtection="1">
      <alignment horizontal="right"/>
      <protection locked="0"/>
    </xf>
    <xf numFmtId="0" fontId="96" fillId="0" borderId="0" xfId="94" applyFont="1" applyAlignment="1" applyProtection="1">
      <alignment horizontal="left" vertical="top"/>
      <protection locked="0"/>
    </xf>
    <xf numFmtId="0" fontId="8" fillId="0" borderId="0" xfId="94" applyAlignment="1" applyProtection="1">
      <alignment vertical="top"/>
      <protection locked="0"/>
    </xf>
    <xf numFmtId="1" fontId="10" fillId="0" borderId="125" xfId="32" applyNumberFormat="1" applyFont="1" applyBorder="1" applyAlignment="1" applyProtection="1">
      <alignment horizontal="right" wrapText="1"/>
      <protection locked="0"/>
    </xf>
    <xf numFmtId="49" fontId="10" fillId="0" borderId="125" xfId="32" applyNumberFormat="1" applyFont="1" applyBorder="1" applyAlignment="1" applyProtection="1">
      <alignment horizontal="left" wrapText="1"/>
      <protection locked="0"/>
    </xf>
    <xf numFmtId="0" fontId="30" fillId="0" borderId="125" xfId="32" applyFont="1" applyBorder="1" applyAlignment="1" applyProtection="1">
      <alignment horizontal="left" wrapText="1"/>
      <protection locked="0"/>
    </xf>
    <xf numFmtId="0" fontId="30" fillId="0" borderId="125" xfId="83" applyFont="1" applyBorder="1" applyAlignment="1">
      <alignment horizontal="left" wrapText="1"/>
    </xf>
    <xf numFmtId="0" fontId="30" fillId="0" borderId="125" xfId="3" applyFont="1" applyBorder="1" applyAlignment="1" applyProtection="1">
      <alignment horizontal="left" wrapText="1"/>
      <protection locked="0"/>
    </xf>
    <xf numFmtId="4" fontId="30" fillId="0" borderId="125" xfId="32" applyNumberFormat="1" applyFont="1" applyBorder="1" applyAlignment="1" applyProtection="1">
      <alignment horizontal="right"/>
      <protection locked="0"/>
    </xf>
    <xf numFmtId="39" fontId="10" fillId="0" borderId="125" xfId="32" applyNumberFormat="1" applyFont="1" applyBorder="1" applyAlignment="1" applyProtection="1">
      <alignment horizontal="center"/>
      <protection locked="0"/>
    </xf>
    <xf numFmtId="167" fontId="10" fillId="0" borderId="125" xfId="3" applyNumberFormat="1" applyFont="1" applyBorder="1" applyAlignment="1" applyProtection="1">
      <alignment horizontal="right"/>
      <protection locked="0"/>
    </xf>
    <xf numFmtId="0" fontId="12" fillId="0" borderId="125" xfId="53" applyBorder="1" applyAlignment="1" applyProtection="1">
      <alignment horizontal="left" vertical="top"/>
      <protection locked="0"/>
    </xf>
    <xf numFmtId="37" fontId="10" fillId="0" borderId="125" xfId="53" applyNumberFormat="1" applyFont="1" applyBorder="1" applyAlignment="1" applyProtection="1">
      <alignment horizontal="right"/>
      <protection locked="0"/>
    </xf>
    <xf numFmtId="4" fontId="10" fillId="0" borderId="125" xfId="53" applyNumberFormat="1" applyFont="1" applyBorder="1" applyAlignment="1">
      <alignment horizontal="right"/>
    </xf>
    <xf numFmtId="0" fontId="30" fillId="0" borderId="125" xfId="53" applyFont="1" applyBorder="1" applyAlignment="1" applyProtection="1">
      <alignment horizontal="right" wrapText="1"/>
      <protection locked="0"/>
    </xf>
    <xf numFmtId="0" fontId="30" fillId="0" borderId="125" xfId="53" applyFont="1" applyBorder="1" applyAlignment="1">
      <alignment horizontal="left" wrapText="1"/>
    </xf>
    <xf numFmtId="1" fontId="74" fillId="0" borderId="125" xfId="53" applyNumberFormat="1" applyFont="1" applyBorder="1" applyAlignment="1">
      <alignment horizontal="right"/>
    </xf>
    <xf numFmtId="49" fontId="10" fillId="0" borderId="125" xfId="53" applyNumberFormat="1" applyFont="1" applyBorder="1" applyAlignment="1">
      <alignment horizontal="left" wrapText="1"/>
    </xf>
    <xf numFmtId="0" fontId="74" fillId="0" borderId="125" xfId="53" applyFont="1" applyBorder="1" applyAlignment="1" applyProtection="1">
      <alignment horizontal="left"/>
      <protection locked="0"/>
    </xf>
    <xf numFmtId="0" fontId="74" fillId="0" borderId="125" xfId="53" applyFont="1" applyBorder="1" applyAlignment="1">
      <alignment horizontal="left" wrapText="1"/>
    </xf>
    <xf numFmtId="167" fontId="30" fillId="0" borderId="125" xfId="53" applyNumberFormat="1" applyFont="1" applyBorder="1" applyAlignment="1">
      <alignment horizontal="right"/>
    </xf>
    <xf numFmtId="4" fontId="30" fillId="5" borderId="125" xfId="53" applyNumberFormat="1" applyFont="1" applyFill="1" applyBorder="1" applyAlignment="1">
      <alignment horizontal="right"/>
    </xf>
    <xf numFmtId="39" fontId="74" fillId="0" borderId="125" xfId="53" applyNumberFormat="1" applyFont="1" applyBorder="1" applyAlignment="1" applyProtection="1">
      <alignment horizontal="center"/>
      <protection locked="0"/>
    </xf>
    <xf numFmtId="1" fontId="139" fillId="0" borderId="125" xfId="53" applyNumberFormat="1" applyFont="1" applyBorder="1" applyAlignment="1">
      <alignment horizontal="right"/>
    </xf>
    <xf numFmtId="49" fontId="56" fillId="0" borderId="125" xfId="53" applyNumberFormat="1" applyFont="1" applyBorder="1" applyAlignment="1">
      <alignment horizontal="left" wrapText="1"/>
    </xf>
    <xf numFmtId="0" fontId="139" fillId="0" borderId="125" xfId="53" applyFont="1" applyBorder="1" applyAlignment="1" applyProtection="1">
      <alignment horizontal="left"/>
      <protection locked="0"/>
    </xf>
    <xf numFmtId="0" fontId="139" fillId="0" borderId="125" xfId="53" applyFont="1" applyBorder="1" applyAlignment="1" applyProtection="1">
      <alignment horizontal="left" wrapText="1"/>
      <protection locked="0"/>
    </xf>
    <xf numFmtId="0" fontId="139" fillId="0" borderId="125" xfId="53" applyFont="1" applyBorder="1" applyAlignment="1">
      <alignment horizontal="left" wrapText="1"/>
    </xf>
    <xf numFmtId="167" fontId="59" fillId="0" borderId="125" xfId="53" applyNumberFormat="1" applyFont="1" applyBorder="1" applyAlignment="1">
      <alignment horizontal="right"/>
    </xf>
    <xf numFmtId="4" fontId="59" fillId="5" borderId="125" xfId="53" applyNumberFormat="1" applyFont="1" applyFill="1" applyBorder="1" applyAlignment="1">
      <alignment horizontal="right"/>
    </xf>
    <xf numFmtId="39" fontId="139" fillId="0" borderId="125" xfId="53" applyNumberFormat="1" applyFont="1" applyBorder="1" applyAlignment="1" applyProtection="1">
      <alignment horizontal="center"/>
      <protection locked="0"/>
    </xf>
    <xf numFmtId="167" fontId="59" fillId="0" borderId="125" xfId="53" applyNumberFormat="1" applyFont="1" applyBorder="1" applyAlignment="1" applyProtection="1">
      <alignment horizontal="right"/>
      <protection locked="0"/>
    </xf>
    <xf numFmtId="37" fontId="68" fillId="0" borderId="125" xfId="53" applyNumberFormat="1" applyFont="1" applyBorder="1" applyAlignment="1" applyProtection="1">
      <alignment horizontal="right"/>
      <protection locked="0"/>
    </xf>
    <xf numFmtId="167" fontId="101" fillId="0" borderId="125" xfId="53" applyNumberFormat="1" applyFont="1" applyBorder="1" applyAlignment="1" applyProtection="1">
      <alignment horizontal="right" wrapText="1"/>
      <protection locked="0"/>
    </xf>
    <xf numFmtId="0" fontId="8" fillId="0" borderId="125" xfId="53" applyFont="1" applyBorder="1" applyAlignment="1" applyProtection="1">
      <alignment horizontal="left" vertical="top"/>
      <protection locked="0"/>
    </xf>
    <xf numFmtId="49" fontId="10" fillId="0" borderId="125" xfId="53" applyNumberFormat="1" applyFont="1" applyBorder="1" applyAlignment="1" applyProtection="1">
      <alignment horizontal="right" wrapText="1"/>
      <protection locked="0"/>
    </xf>
    <xf numFmtId="0" fontId="68" fillId="0" borderId="125" xfId="53" applyFont="1" applyBorder="1" applyAlignment="1" applyProtection="1">
      <alignment horizontal="left" vertical="center" wrapText="1"/>
      <protection locked="0"/>
    </xf>
    <xf numFmtId="167" fontId="30" fillId="0" borderId="125" xfId="53" applyNumberFormat="1" applyFont="1" applyBorder="1" applyAlignment="1" applyProtection="1">
      <alignment horizontal="right" vertical="center"/>
      <protection locked="0"/>
    </xf>
    <xf numFmtId="0" fontId="69" fillId="0" borderId="125" xfId="40" applyBorder="1" applyAlignment="1">
      <alignment vertical="top"/>
      <protection locked="0"/>
    </xf>
    <xf numFmtId="1" fontId="10" fillId="0" borderId="125" xfId="40" applyNumberFormat="1" applyFont="1" applyBorder="1" applyAlignment="1" applyProtection="1">
      <alignment horizontal="right"/>
    </xf>
    <xf numFmtId="37" fontId="68" fillId="0" borderId="125" xfId="40" applyNumberFormat="1" applyFont="1" applyBorder="1" applyAlignment="1">
      <alignment horizontal="right"/>
      <protection locked="0"/>
    </xf>
    <xf numFmtId="0" fontId="68" fillId="0" borderId="125" xfId="40" applyFont="1" applyBorder="1" applyAlignment="1">
      <alignment horizontal="left" wrapText="1"/>
      <protection locked="0"/>
    </xf>
    <xf numFmtId="39" fontId="68" fillId="0" borderId="125" xfId="40" applyNumberFormat="1" applyFont="1" applyBorder="1" applyAlignment="1">
      <alignment horizontal="right"/>
      <protection locked="0"/>
    </xf>
    <xf numFmtId="0" fontId="50" fillId="0" borderId="125" xfId="3" applyFont="1" applyBorder="1" applyAlignment="1" applyProtection="1">
      <alignment horizontal="left" wrapText="1"/>
      <protection locked="0"/>
    </xf>
    <xf numFmtId="167" fontId="30" fillId="0" borderId="125" xfId="3" applyNumberFormat="1" applyFont="1" applyBorder="1" applyProtection="1">
      <protection locked="0"/>
    </xf>
    <xf numFmtId="39" fontId="50" fillId="0" borderId="125" xfId="3" applyNumberFormat="1" applyFont="1" applyBorder="1" applyAlignment="1" applyProtection="1">
      <alignment horizontal="right"/>
      <protection locked="0"/>
    </xf>
    <xf numFmtId="167" fontId="10" fillId="0" borderId="125" xfId="40" applyNumberFormat="1" applyFont="1" applyBorder="1" applyAlignment="1">
      <alignment horizontal="right"/>
      <protection locked="0"/>
    </xf>
    <xf numFmtId="4" fontId="10" fillId="0" borderId="125" xfId="40" applyNumberFormat="1" applyFont="1" applyBorder="1" applyAlignment="1" applyProtection="1">
      <alignment horizontal="right"/>
    </xf>
    <xf numFmtId="39" fontId="10" fillId="0" borderId="125" xfId="96" applyNumberFormat="1" applyFont="1" applyBorder="1" applyAlignment="1" applyProtection="1">
      <alignment horizontal="center"/>
      <protection locked="0"/>
    </xf>
    <xf numFmtId="39" fontId="10" fillId="0" borderId="125" xfId="96" applyNumberFormat="1" applyFont="1" applyBorder="1" applyAlignment="1" applyProtection="1">
      <alignment horizontal="right"/>
      <protection locked="0"/>
    </xf>
    <xf numFmtId="0" fontId="30" fillId="0" borderId="125" xfId="74" applyFont="1" applyBorder="1" applyAlignment="1">
      <alignment horizontal="left" wrapText="1"/>
      <protection locked="0"/>
    </xf>
    <xf numFmtId="37" fontId="39" fillId="7" borderId="125" xfId="96" applyNumberFormat="1" applyFont="1" applyFill="1" applyBorder="1" applyAlignment="1" applyProtection="1">
      <alignment horizontal="right"/>
      <protection locked="0"/>
    </xf>
    <xf numFmtId="0" fontId="39" fillId="7" borderId="125" xfId="96" applyFont="1" applyFill="1" applyBorder="1" applyAlignment="1" applyProtection="1">
      <alignment horizontal="left" wrapText="1"/>
      <protection locked="0"/>
    </xf>
    <xf numFmtId="167" fontId="39" fillId="7" borderId="125" xfId="96" applyNumberFormat="1" applyFont="1" applyFill="1" applyBorder="1" applyAlignment="1" applyProtection="1">
      <alignment horizontal="right"/>
      <protection locked="0"/>
    </xf>
    <xf numFmtId="39" fontId="124" fillId="7" borderId="125" xfId="96" applyNumberFormat="1" applyFont="1" applyFill="1" applyBorder="1" applyAlignment="1" applyProtection="1">
      <alignment horizontal="right"/>
      <protection locked="0"/>
    </xf>
    <xf numFmtId="0" fontId="8" fillId="0" borderId="125" xfId="96" applyBorder="1" applyAlignment="1" applyProtection="1">
      <alignment vertical="top"/>
      <protection locked="0"/>
    </xf>
    <xf numFmtId="0" fontId="8" fillId="0" borderId="0" xfId="96" applyAlignment="1" applyProtection="1">
      <alignment horizontal="left" vertical="top"/>
      <protection locked="0"/>
    </xf>
    <xf numFmtId="37" fontId="10" fillId="0" borderId="125" xfId="96" applyNumberFormat="1" applyFont="1" applyBorder="1" applyAlignment="1" applyProtection="1">
      <alignment horizontal="right"/>
      <protection locked="0"/>
    </xf>
    <xf numFmtId="0" fontId="10" fillId="0" borderId="125" xfId="96" applyFont="1" applyBorder="1" applyAlignment="1" applyProtection="1">
      <alignment horizontal="left" wrapText="1"/>
      <protection locked="0"/>
    </xf>
    <xf numFmtId="37" fontId="98" fillId="0" borderId="125" xfId="96" applyNumberFormat="1" applyFont="1" applyBorder="1" applyAlignment="1" applyProtection="1">
      <alignment horizontal="right"/>
      <protection locked="0"/>
    </xf>
    <xf numFmtId="0" fontId="98" fillId="0" borderId="125" xfId="96" applyFont="1" applyBorder="1" applyAlignment="1" applyProtection="1">
      <alignment horizontal="left" wrapText="1"/>
      <protection locked="0"/>
    </xf>
    <xf numFmtId="0" fontId="30" fillId="0" borderId="125" xfId="96" applyFont="1" applyBorder="1" applyAlignment="1" applyProtection="1">
      <alignment horizontal="left" wrapText="1"/>
      <protection locked="0"/>
    </xf>
    <xf numFmtId="167" fontId="30" fillId="0" borderId="125" xfId="96" applyNumberFormat="1" applyFont="1" applyBorder="1" applyAlignment="1" applyProtection="1">
      <alignment horizontal="right"/>
      <protection locked="0"/>
    </xf>
    <xf numFmtId="39" fontId="98" fillId="0" borderId="125" xfId="96" applyNumberFormat="1" applyFont="1" applyBorder="1" applyAlignment="1" applyProtection="1">
      <alignment horizontal="right"/>
      <protection locked="0"/>
    </xf>
    <xf numFmtId="0" fontId="13" fillId="0" borderId="125" xfId="96" applyFont="1" applyBorder="1" applyAlignment="1" applyProtection="1">
      <alignment horizontal="center" vertical="top"/>
      <protection locked="0"/>
    </xf>
    <xf numFmtId="37" fontId="74" fillId="0" borderId="125" xfId="96" applyNumberFormat="1" applyFont="1" applyBorder="1" applyAlignment="1" applyProtection="1">
      <alignment horizontal="right"/>
      <protection locked="0"/>
    </xf>
    <xf numFmtId="0" fontId="68" fillId="0" borderId="125" xfId="96" applyFont="1" applyBorder="1" applyAlignment="1" applyProtection="1">
      <alignment horizontal="left" wrapText="1"/>
      <protection locked="0"/>
    </xf>
    <xf numFmtId="0" fontId="74" fillId="0" borderId="125" xfId="96" applyFont="1" applyBorder="1" applyAlignment="1" applyProtection="1">
      <alignment horizontal="left" wrapText="1"/>
      <protection locked="0"/>
    </xf>
    <xf numFmtId="4" fontId="74" fillId="5" borderId="125" xfId="96" applyNumberFormat="1" applyFont="1" applyFill="1" applyBorder="1" applyAlignment="1" applyProtection="1">
      <alignment horizontal="right"/>
      <protection locked="0"/>
    </xf>
    <xf numFmtId="167" fontId="98" fillId="0" borderId="125" xfId="96" applyNumberFormat="1" applyFont="1" applyBorder="1" applyAlignment="1" applyProtection="1">
      <alignment horizontal="right"/>
      <protection locked="0"/>
    </xf>
    <xf numFmtId="39" fontId="13" fillId="0" borderId="125" xfId="96" applyNumberFormat="1" applyFont="1" applyBorder="1" applyAlignment="1" applyProtection="1">
      <alignment horizontal="center" vertical="top"/>
      <protection locked="0"/>
    </xf>
    <xf numFmtId="167" fontId="10" fillId="0" borderId="125" xfId="96" applyNumberFormat="1" applyFont="1" applyBorder="1" applyAlignment="1" applyProtection="1">
      <alignment horizontal="right"/>
      <protection locked="0"/>
    </xf>
    <xf numFmtId="37" fontId="10" fillId="0" borderId="125" xfId="94" applyNumberFormat="1" applyFont="1" applyBorder="1" applyAlignment="1" applyProtection="1">
      <alignment horizontal="right"/>
      <protection locked="0"/>
    </xf>
    <xf numFmtId="39" fontId="10" fillId="0" borderId="125" xfId="94" applyNumberFormat="1" applyFont="1" applyBorder="1" applyAlignment="1" applyProtection="1">
      <alignment horizontal="right"/>
      <protection locked="0"/>
    </xf>
    <xf numFmtId="0" fontId="13" fillId="0" borderId="0" xfId="94" applyFont="1" applyAlignment="1" applyProtection="1">
      <alignment horizontal="left" vertical="top"/>
      <protection locked="0"/>
    </xf>
    <xf numFmtId="0" fontId="13" fillId="0" borderId="125" xfId="94" applyFont="1" applyBorder="1" applyAlignment="1" applyProtection="1">
      <alignment horizontal="center" vertical="top"/>
      <protection locked="0"/>
    </xf>
    <xf numFmtId="167" fontId="101" fillId="0" borderId="125" xfId="94" applyNumberFormat="1" applyFont="1" applyBorder="1" applyAlignment="1" applyProtection="1">
      <alignment horizontal="right"/>
      <protection locked="0"/>
    </xf>
    <xf numFmtId="1" fontId="10" fillId="0" borderId="125" xfId="96" applyNumberFormat="1" applyFont="1" applyBorder="1" applyAlignment="1">
      <alignment horizontal="right"/>
    </xf>
    <xf numFmtId="4" fontId="10" fillId="0" borderId="125" xfId="96" applyNumberFormat="1" applyFont="1" applyBorder="1" applyAlignment="1">
      <alignment horizontal="right"/>
    </xf>
    <xf numFmtId="0" fontId="8" fillId="7" borderId="0" xfId="96" applyFill="1" applyAlignment="1" applyProtection="1">
      <alignment horizontal="left" vertical="top"/>
      <protection locked="0"/>
    </xf>
    <xf numFmtId="0" fontId="13" fillId="0" borderId="0" xfId="96" applyFont="1" applyAlignment="1" applyProtection="1">
      <alignment horizontal="left" vertical="top"/>
      <protection locked="0"/>
    </xf>
    <xf numFmtId="0" fontId="13" fillId="7" borderId="0" xfId="96" applyFont="1" applyFill="1" applyAlignment="1" applyProtection="1">
      <alignment horizontal="left" vertical="top"/>
      <protection locked="0"/>
    </xf>
    <xf numFmtId="37" fontId="68" fillId="0" borderId="125" xfId="96" applyNumberFormat="1" applyFont="1" applyBorder="1" applyAlignment="1" applyProtection="1">
      <alignment horizontal="right"/>
      <protection locked="0"/>
    </xf>
    <xf numFmtId="39" fontId="68" fillId="0" borderId="125" xfId="96" applyNumberFormat="1" applyFont="1" applyBorder="1" applyAlignment="1" applyProtection="1">
      <alignment horizontal="right"/>
      <protection locked="0"/>
    </xf>
    <xf numFmtId="0" fontId="8" fillId="0" borderId="125" xfId="96" applyBorder="1" applyAlignment="1" applyProtection="1">
      <alignment horizontal="left" vertical="top"/>
      <protection locked="0"/>
    </xf>
    <xf numFmtId="173" fontId="10" fillId="0" borderId="125" xfId="83" applyNumberFormat="1" applyFont="1" applyBorder="1" applyAlignment="1">
      <alignment horizontal="right"/>
    </xf>
    <xf numFmtId="37" fontId="10" fillId="0" borderId="125" xfId="83" applyNumberFormat="1" applyFont="1" applyBorder="1" applyAlignment="1">
      <alignment horizontal="right"/>
    </xf>
    <xf numFmtId="0" fontId="39" fillId="0" borderId="125" xfId="83" applyFont="1" applyBorder="1" applyAlignment="1">
      <alignment horizontal="left" wrapText="1"/>
    </xf>
    <xf numFmtId="0" fontId="10" fillId="0" borderId="125" xfId="83" applyFont="1" applyBorder="1" applyAlignment="1">
      <alignment horizontal="left" wrapText="1"/>
    </xf>
    <xf numFmtId="167" fontId="68" fillId="0" borderId="125" xfId="83" applyNumberFormat="1" applyFont="1" applyBorder="1" applyAlignment="1">
      <alignment horizontal="right" wrapText="1"/>
    </xf>
    <xf numFmtId="39" fontId="98" fillId="0" borderId="125" xfId="83" applyNumberFormat="1" applyFont="1" applyBorder="1" applyAlignment="1">
      <alignment horizontal="right"/>
    </xf>
    <xf numFmtId="0" fontId="96" fillId="0" borderId="125" xfId="83" applyFont="1" applyBorder="1" applyAlignment="1">
      <alignment horizontal="left" vertical="top"/>
    </xf>
    <xf numFmtId="1" fontId="10" fillId="0" borderId="125" xfId="63" applyNumberFormat="1" applyFont="1" applyBorder="1" applyAlignment="1">
      <alignment horizontal="right"/>
    </xf>
    <xf numFmtId="49" fontId="10" fillId="0" borderId="125" xfId="63" applyNumberFormat="1" applyFont="1" applyBorder="1" applyAlignment="1">
      <alignment horizontal="left" wrapText="1"/>
    </xf>
    <xf numFmtId="49" fontId="11" fillId="0" borderId="125" xfId="21" applyNumberFormat="1" applyFont="1" applyBorder="1" applyAlignment="1">
      <alignment horizontal="left"/>
    </xf>
    <xf numFmtId="0" fontId="10" fillId="0" borderId="125" xfId="63" applyFont="1" applyBorder="1" applyAlignment="1">
      <alignment horizontal="left" wrapText="1"/>
    </xf>
    <xf numFmtId="4" fontId="10" fillId="0" borderId="125" xfId="83" applyNumberFormat="1" applyFont="1" applyBorder="1" applyAlignment="1">
      <alignment horizontal="right"/>
    </xf>
    <xf numFmtId="39" fontId="10" fillId="0" borderId="125" xfId="83" applyNumberFormat="1" applyFont="1" applyBorder="1" applyAlignment="1">
      <alignment horizontal="center"/>
    </xf>
    <xf numFmtId="1" fontId="30" fillId="0" borderId="125" xfId="8" applyNumberFormat="1" applyFont="1" applyBorder="1" applyAlignment="1" applyProtection="1">
      <alignment horizontal="right"/>
      <protection locked="0"/>
    </xf>
    <xf numFmtId="0" fontId="30" fillId="0" borderId="125" xfId="8" applyFont="1" applyBorder="1" applyAlignment="1" applyProtection="1">
      <alignment horizontal="left" wrapText="1"/>
      <protection locked="0"/>
    </xf>
    <xf numFmtId="167" fontId="30" fillId="0" borderId="125" xfId="8" applyNumberFormat="1" applyFont="1" applyBorder="1" applyAlignment="1" applyProtection="1">
      <alignment horizontal="right"/>
      <protection locked="0"/>
    </xf>
    <xf numFmtId="4" fontId="30" fillId="0" borderId="125" xfId="8" applyNumberFormat="1" applyFont="1" applyBorder="1" applyAlignment="1" applyProtection="1">
      <alignment horizontal="right"/>
      <protection locked="0"/>
    </xf>
    <xf numFmtId="1" fontId="30" fillId="0" borderId="125" xfId="63" applyNumberFormat="1" applyFont="1" applyBorder="1" applyAlignment="1">
      <alignment horizontal="right"/>
    </xf>
    <xf numFmtId="0" fontId="30" fillId="0" borderId="125" xfId="63" applyFont="1" applyBorder="1" applyAlignment="1">
      <alignment horizontal="left" wrapText="1"/>
    </xf>
    <xf numFmtId="0" fontId="74" fillId="0" borderId="125" xfId="63" applyFont="1" applyBorder="1" applyAlignment="1">
      <alignment horizontal="left" wrapText="1"/>
    </xf>
    <xf numFmtId="167" fontId="30" fillId="0" borderId="125" xfId="63" applyNumberFormat="1" applyFont="1" applyBorder="1" applyAlignment="1">
      <alignment horizontal="right" wrapText="1"/>
    </xf>
    <xf numFmtId="4" fontId="10" fillId="0" borderId="125" xfId="63" applyNumberFormat="1" applyFont="1" applyBorder="1" applyAlignment="1">
      <alignment horizontal="right"/>
    </xf>
    <xf numFmtId="0" fontId="55" fillId="0" borderId="125" xfId="63" applyFont="1" applyBorder="1" applyAlignment="1">
      <alignment horizontal="left" vertical="top"/>
    </xf>
    <xf numFmtId="37" fontId="30" fillId="0" borderId="125" xfId="63" applyNumberFormat="1" applyFont="1" applyBorder="1" applyAlignment="1">
      <alignment horizontal="right"/>
    </xf>
    <xf numFmtId="167" fontId="30" fillId="0" borderId="125" xfId="63" applyNumberFormat="1" applyFont="1" applyBorder="1" applyAlignment="1">
      <alignment horizontal="right"/>
    </xf>
    <xf numFmtId="37" fontId="30" fillId="0" borderId="125" xfId="94" applyNumberFormat="1" applyFont="1" applyBorder="1" applyAlignment="1" applyProtection="1">
      <alignment horizontal="right"/>
      <protection locked="0"/>
    </xf>
    <xf numFmtId="39" fontId="30" fillId="0" borderId="125" xfId="94" applyNumberFormat="1" applyFont="1" applyBorder="1" applyAlignment="1" applyProtection="1">
      <alignment horizontal="right"/>
      <protection locked="0"/>
    </xf>
    <xf numFmtId="0" fontId="55" fillId="0" borderId="125" xfId="94" applyFont="1" applyBorder="1" applyAlignment="1" applyProtection="1">
      <alignment horizontal="left" vertical="top"/>
      <protection locked="0"/>
    </xf>
    <xf numFmtId="49" fontId="10" fillId="0" borderId="125" xfId="83" applyNumberFormat="1" applyFont="1" applyBorder="1" applyAlignment="1">
      <alignment horizontal="left" wrapText="1"/>
    </xf>
    <xf numFmtId="167" fontId="10" fillId="0" borderId="125" xfId="83" applyNumberFormat="1" applyFont="1" applyBorder="1" applyAlignment="1">
      <alignment horizontal="right"/>
    </xf>
    <xf numFmtId="39" fontId="10" fillId="0" borderId="129" xfId="40" applyNumberFormat="1" applyFont="1" applyBorder="1" applyAlignment="1">
      <alignment horizontal="right"/>
      <protection locked="0"/>
    </xf>
    <xf numFmtId="39" fontId="10" fillId="0" borderId="125" xfId="83" applyNumberFormat="1" applyFont="1" applyBorder="1" applyAlignment="1">
      <alignment horizontal="right"/>
    </xf>
    <xf numFmtId="37" fontId="68" fillId="0" borderId="125" xfId="83" applyNumberFormat="1" applyFont="1" applyBorder="1" applyAlignment="1">
      <alignment horizontal="right"/>
    </xf>
    <xf numFmtId="0" fontId="68" fillId="0" borderId="125" xfId="83" applyFont="1" applyBorder="1" applyAlignment="1">
      <alignment horizontal="left" wrapText="1"/>
    </xf>
    <xf numFmtId="167" fontId="30" fillId="0" borderId="125" xfId="83" applyNumberFormat="1" applyFont="1" applyBorder="1" applyAlignment="1">
      <alignment horizontal="right"/>
    </xf>
    <xf numFmtId="39" fontId="68" fillId="0" borderId="125" xfId="83" applyNumberFormat="1" applyFont="1" applyBorder="1" applyAlignment="1">
      <alignment horizontal="right"/>
    </xf>
    <xf numFmtId="0" fontId="40" fillId="0" borderId="125" xfId="83" applyBorder="1" applyAlignment="1">
      <alignment horizontal="left" vertical="top"/>
    </xf>
    <xf numFmtId="37" fontId="39" fillId="0" borderId="129" xfId="94" applyNumberFormat="1" applyFont="1" applyBorder="1" applyAlignment="1" applyProtection="1">
      <alignment horizontal="right"/>
      <protection locked="0"/>
    </xf>
    <xf numFmtId="0" fontId="39" fillId="0" borderId="129" xfId="94" applyFont="1" applyBorder="1" applyAlignment="1" applyProtection="1">
      <alignment horizontal="left" wrapText="1"/>
      <protection locked="0"/>
    </xf>
    <xf numFmtId="167" fontId="39" fillId="0" borderId="129" xfId="94" applyNumberFormat="1" applyFont="1" applyBorder="1" applyAlignment="1" applyProtection="1">
      <alignment horizontal="right"/>
      <protection locked="0"/>
    </xf>
    <xf numFmtId="171" fontId="39" fillId="0" borderId="129" xfId="94" applyNumberFormat="1" applyFont="1" applyBorder="1" applyAlignment="1" applyProtection="1">
      <alignment horizontal="right"/>
      <protection locked="0"/>
    </xf>
    <xf numFmtId="0" fontId="8" fillId="0" borderId="129" xfId="94" applyBorder="1" applyAlignment="1" applyProtection="1">
      <alignment horizontal="left" vertical="top"/>
      <protection locked="0"/>
    </xf>
    <xf numFmtId="0" fontId="10" fillId="0" borderId="129" xfId="94" applyFont="1" applyBorder="1" applyAlignment="1" applyProtection="1">
      <alignment horizontal="left" wrapText="1"/>
      <protection locked="0"/>
    </xf>
    <xf numFmtId="0" fontId="51" fillId="0" borderId="129" xfId="94" applyFont="1" applyBorder="1"/>
    <xf numFmtId="39" fontId="10" fillId="0" borderId="129" xfId="94" applyNumberFormat="1" applyFont="1" applyBorder="1" applyAlignment="1" applyProtection="1">
      <alignment horizontal="center"/>
      <protection locked="0"/>
    </xf>
    <xf numFmtId="0" fontId="76" fillId="0" borderId="129" xfId="94" applyFont="1" applyBorder="1"/>
    <xf numFmtId="167" fontId="30" fillId="0" borderId="129" xfId="94" applyNumberFormat="1" applyFont="1" applyBorder="1" applyAlignment="1" applyProtection="1">
      <alignment horizontal="right" wrapText="1"/>
      <protection locked="0"/>
    </xf>
    <xf numFmtId="39" fontId="10" fillId="0" borderId="129" xfId="94" applyNumberFormat="1" applyFont="1" applyBorder="1" applyAlignment="1" applyProtection="1">
      <alignment horizontal="right"/>
      <protection locked="0"/>
    </xf>
    <xf numFmtId="0" fontId="54" fillId="0" borderId="0" xfId="94" applyFont="1" applyAlignment="1" applyProtection="1">
      <alignment horizontal="left" vertical="top"/>
      <protection locked="0"/>
    </xf>
    <xf numFmtId="4" fontId="8" fillId="0" borderId="0" xfId="94" applyNumberFormat="1" applyAlignment="1" applyProtection="1">
      <alignment horizontal="left" vertical="top"/>
      <protection locked="0"/>
    </xf>
    <xf numFmtId="0" fontId="255" fillId="0" borderId="0" xfId="94" applyFont="1" applyAlignment="1" applyProtection="1">
      <alignment horizontal="right" vertical="center"/>
      <protection locked="0"/>
    </xf>
    <xf numFmtId="1" fontId="11" fillId="0" borderId="129" xfId="21" applyNumberFormat="1" applyFont="1" applyBorder="1"/>
    <xf numFmtId="0" fontId="55" fillId="0" borderId="0" xfId="94" applyFont="1" applyAlignment="1" applyProtection="1">
      <alignment horizontal="left" vertical="top"/>
      <protection locked="0"/>
    </xf>
    <xf numFmtId="0" fontId="30" fillId="0" borderId="129" xfId="94" applyFont="1" applyBorder="1" applyAlignment="1" applyProtection="1">
      <alignment horizontal="left" wrapText="1"/>
      <protection locked="0"/>
    </xf>
    <xf numFmtId="167" fontId="30" fillId="0" borderId="129" xfId="94" applyNumberFormat="1" applyFont="1" applyBorder="1" applyAlignment="1" applyProtection="1">
      <alignment horizontal="right"/>
      <protection locked="0"/>
    </xf>
    <xf numFmtId="4" fontId="10" fillId="0" borderId="129" xfId="94" applyNumberFormat="1" applyFont="1" applyBorder="1" applyAlignment="1" applyProtection="1">
      <alignment horizontal="right"/>
      <protection locked="0"/>
    </xf>
    <xf numFmtId="1" fontId="10" fillId="0" borderId="129" xfId="94" applyNumberFormat="1" applyFont="1" applyBorder="1" applyAlignment="1" applyProtection="1">
      <alignment horizontal="right"/>
      <protection locked="0"/>
    </xf>
    <xf numFmtId="167" fontId="55" fillId="0" borderId="129" xfId="94" applyNumberFormat="1" applyFont="1" applyBorder="1" applyAlignment="1" applyProtection="1">
      <alignment horizontal="left" vertical="top"/>
      <protection locked="0"/>
    </xf>
    <xf numFmtId="0" fontId="97" fillId="0" borderId="0" xfId="94" applyFont="1" applyAlignment="1" applyProtection="1">
      <alignment horizontal="right" vertical="top"/>
      <protection locked="0"/>
    </xf>
    <xf numFmtId="0" fontId="150" fillId="0" borderId="0" xfId="94" applyFont="1" applyAlignment="1" applyProtection="1">
      <alignment horizontal="right" vertical="center"/>
      <protection locked="0"/>
    </xf>
    <xf numFmtId="167" fontId="51" fillId="0" borderId="129" xfId="94" applyNumberFormat="1" applyFont="1" applyBorder="1"/>
    <xf numFmtId="4" fontId="55" fillId="0" borderId="0" xfId="94" applyNumberFormat="1" applyFont="1" applyAlignment="1" applyProtection="1">
      <alignment horizontal="left" vertical="top"/>
      <protection locked="0"/>
    </xf>
    <xf numFmtId="167" fontId="55" fillId="0" borderId="0" xfId="94" applyNumberFormat="1" applyFont="1" applyAlignment="1" applyProtection="1">
      <alignment horizontal="left" vertical="top"/>
      <protection locked="0"/>
    </xf>
    <xf numFmtId="37" fontId="10" fillId="0" borderId="129" xfId="94" applyNumberFormat="1" applyFont="1" applyBorder="1" applyAlignment="1" applyProtection="1">
      <alignment horizontal="right"/>
      <protection locked="0"/>
    </xf>
    <xf numFmtId="0" fontId="150"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98" fillId="0" borderId="129" xfId="94" applyFont="1" applyBorder="1" applyAlignment="1" applyProtection="1">
      <alignment horizontal="left" wrapText="1"/>
      <protection locked="0"/>
    </xf>
    <xf numFmtId="0" fontId="116" fillId="0" borderId="0" xfId="94" applyFont="1" applyAlignment="1" applyProtection="1">
      <alignment horizontal="left" vertical="center"/>
      <protection locked="0"/>
    </xf>
    <xf numFmtId="0" fontId="30" fillId="0" borderId="0" xfId="94" applyFont="1" applyAlignment="1" applyProtection="1">
      <alignment horizontal="left" vertical="top"/>
      <protection locked="0"/>
    </xf>
    <xf numFmtId="0" fontId="52" fillId="0" borderId="129" xfId="94" applyFont="1" applyBorder="1" applyAlignment="1" applyProtection="1">
      <alignment horizontal="left" wrapText="1"/>
      <protection locked="0"/>
    </xf>
    <xf numFmtId="167" fontId="52" fillId="0" borderId="129" xfId="94" applyNumberFormat="1" applyFont="1" applyBorder="1" applyAlignment="1" applyProtection="1">
      <alignment horizontal="left" wrapText="1"/>
      <protection locked="0"/>
    </xf>
    <xf numFmtId="167" fontId="98" fillId="0" borderId="129" xfId="94" applyNumberFormat="1" applyFont="1" applyBorder="1" applyAlignment="1" applyProtection="1">
      <alignment horizontal="left" wrapText="1"/>
      <protection locked="0"/>
    </xf>
    <xf numFmtId="0" fontId="76" fillId="0" borderId="129" xfId="94" applyFont="1" applyBorder="1" applyAlignment="1">
      <alignment wrapText="1"/>
    </xf>
    <xf numFmtId="0" fontId="84" fillId="0" borderId="0" xfId="94" applyFont="1" applyAlignment="1" applyProtection="1">
      <alignment horizontal="left" vertical="center"/>
      <protection locked="0"/>
    </xf>
    <xf numFmtId="167" fontId="13" fillId="0" borderId="0" xfId="94" applyNumberFormat="1" applyFont="1" applyAlignment="1" applyProtection="1">
      <alignment horizontal="left" vertical="top"/>
      <protection locked="0"/>
    </xf>
    <xf numFmtId="0" fontId="10" fillId="0" borderId="0" xfId="94" applyFont="1" applyAlignment="1" applyProtection="1">
      <alignment horizontal="left" vertical="top"/>
      <protection locked="0"/>
    </xf>
    <xf numFmtId="0" fontId="13" fillId="7" borderId="0" xfId="94" applyFont="1" applyFill="1" applyAlignment="1" applyProtection="1">
      <alignment horizontal="left" vertical="top"/>
      <protection locked="0"/>
    </xf>
    <xf numFmtId="0" fontId="64" fillId="0" borderId="0" xfId="94" applyFont="1" applyAlignment="1" applyProtection="1">
      <alignment horizontal="right"/>
      <protection locked="0"/>
    </xf>
    <xf numFmtId="171" fontId="10" fillId="0" borderId="125" xfId="94" applyNumberFormat="1" applyFont="1" applyBorder="1" applyAlignment="1" applyProtection="1">
      <alignment horizontal="right"/>
      <protection locked="0"/>
    </xf>
    <xf numFmtId="0" fontId="68" fillId="0" borderId="129" xfId="94" applyFont="1" applyBorder="1" applyAlignment="1" applyProtection="1">
      <alignment horizontal="left" wrapText="1"/>
      <protection locked="0"/>
    </xf>
    <xf numFmtId="2" fontId="10" fillId="0" borderId="129" xfId="94" applyNumberFormat="1" applyFont="1" applyBorder="1" applyAlignment="1" applyProtection="1">
      <alignment horizontal="center"/>
      <protection locked="0"/>
    </xf>
    <xf numFmtId="0" fontId="259" fillId="0" borderId="129" xfId="94" applyFont="1" applyBorder="1" applyAlignment="1">
      <alignment wrapText="1"/>
    </xf>
    <xf numFmtId="0" fontId="84" fillId="0" borderId="0" xfId="94" applyFont="1" applyAlignment="1" applyProtection="1">
      <alignment vertical="center"/>
      <protection locked="0"/>
    </xf>
    <xf numFmtId="167" fontId="10" fillId="0" borderId="129" xfId="94" applyNumberFormat="1" applyFont="1" applyBorder="1" applyAlignment="1" applyProtection="1">
      <alignment horizontal="right"/>
      <protection locked="0"/>
    </xf>
    <xf numFmtId="39" fontId="49" fillId="0" borderId="0" xfId="94" applyNumberFormat="1" applyFont="1" applyAlignment="1" applyProtection="1">
      <alignment horizontal="right" vertical="center"/>
      <protection locked="0"/>
    </xf>
    <xf numFmtId="39" fontId="8" fillId="0" borderId="0" xfId="94" applyNumberFormat="1" applyAlignment="1" applyProtection="1">
      <alignment horizontal="left" vertical="top"/>
      <protection locked="0"/>
    </xf>
    <xf numFmtId="0" fontId="8" fillId="7" borderId="0" xfId="94" applyFill="1" applyAlignment="1" applyProtection="1">
      <alignment horizontal="left" vertical="top"/>
      <protection locked="0"/>
    </xf>
    <xf numFmtId="4" fontId="13" fillId="0" borderId="0" xfId="94" applyNumberFormat="1" applyFont="1" applyAlignment="1" applyProtection="1">
      <alignment horizontal="left" vertical="top"/>
      <protection locked="0"/>
    </xf>
    <xf numFmtId="0" fontId="8" fillId="0" borderId="0" xfId="94" applyAlignment="1">
      <alignment horizontal="left" vertical="top"/>
    </xf>
    <xf numFmtId="37" fontId="39" fillId="7" borderId="125" xfId="49" applyNumberFormat="1" applyFont="1" applyFill="1" applyBorder="1" applyAlignment="1" applyProtection="1">
      <alignment horizontal="right"/>
      <protection locked="0"/>
    </xf>
    <xf numFmtId="0" fontId="39" fillId="7" borderId="125" xfId="49" applyFont="1" applyFill="1" applyBorder="1" applyAlignment="1" applyProtection="1">
      <alignment horizontal="left" wrapText="1"/>
      <protection locked="0"/>
    </xf>
    <xf numFmtId="0" fontId="83" fillId="0" borderId="0" xfId="94" applyFont="1" applyAlignment="1" applyProtection="1">
      <alignment horizontal="left" vertical="center"/>
      <protection locked="0"/>
    </xf>
    <xf numFmtId="0" fontId="74" fillId="0" borderId="129" xfId="94" applyFont="1" applyBorder="1" applyAlignment="1" applyProtection="1">
      <alignment horizontal="left" wrapText="1"/>
      <protection locked="0"/>
    </xf>
    <xf numFmtId="0" fontId="8" fillId="0" borderId="125" xfId="94" applyBorder="1" applyAlignment="1" applyProtection="1">
      <alignment horizontal="center" vertical="top"/>
      <protection locked="0"/>
    </xf>
    <xf numFmtId="39" fontId="75" fillId="0" borderId="129" xfId="94" applyNumberFormat="1" applyFont="1" applyBorder="1" applyAlignment="1" applyProtection="1">
      <alignment horizontal="right"/>
      <protection locked="0"/>
    </xf>
    <xf numFmtId="37" fontId="39" fillId="0" borderId="0" xfId="0" applyNumberFormat="1" applyFont="1" applyAlignment="1">
      <alignment horizontal="right"/>
      <protection locked="0"/>
    </xf>
    <xf numFmtId="167" fontId="39" fillId="0" borderId="0" xfId="0" applyNumberFormat="1" applyFont="1" applyAlignment="1">
      <alignment horizontal="right"/>
      <protection locked="0"/>
    </xf>
    <xf numFmtId="39" fontId="39" fillId="0" borderId="0" xfId="0" applyNumberFormat="1" applyFont="1" applyAlignment="1">
      <alignment horizontal="right"/>
      <protection locked="0"/>
    </xf>
    <xf numFmtId="37" fontId="39" fillId="0" borderId="125" xfId="0" applyNumberFormat="1" applyFont="1" applyBorder="1" applyAlignment="1">
      <alignment horizontal="right"/>
      <protection locked="0"/>
    </xf>
    <xf numFmtId="0" fontId="39" fillId="0" borderId="125" xfId="0" applyFont="1" applyBorder="1" applyAlignment="1">
      <alignment horizontal="left" wrapText="1"/>
      <protection locked="0"/>
    </xf>
    <xf numFmtId="167" fontId="39" fillId="0" borderId="125" xfId="0" applyNumberFormat="1" applyFont="1" applyBorder="1" applyAlignment="1">
      <alignment horizontal="right"/>
      <protection locked="0"/>
    </xf>
    <xf numFmtId="39" fontId="39" fillId="0" borderId="125" xfId="0" applyNumberFormat="1" applyFont="1" applyBorder="1" applyAlignment="1">
      <alignment horizontal="right"/>
      <protection locked="0"/>
    </xf>
    <xf numFmtId="0" fontId="0" fillId="0" borderId="125" xfId="0" applyBorder="1" applyAlignment="1">
      <alignment vertical="top"/>
      <protection locked="0"/>
    </xf>
    <xf numFmtId="37" fontId="10" fillId="0" borderId="125" xfId="0" applyNumberFormat="1" applyFont="1" applyBorder="1" applyAlignment="1">
      <alignment horizontal="right"/>
      <protection locked="0"/>
    </xf>
    <xf numFmtId="0" fontId="10" fillId="0" borderId="125" xfId="68" applyFont="1" applyBorder="1" applyAlignment="1">
      <alignment horizontal="left" wrapText="1"/>
      <protection locked="0"/>
    </xf>
    <xf numFmtId="167" fontId="10" fillId="0" borderId="125" xfId="68" applyNumberFormat="1" applyFont="1" applyBorder="1" applyAlignment="1">
      <alignment horizontal="right"/>
      <protection locked="0"/>
    </xf>
    <xf numFmtId="39" fontId="10" fillId="0" borderId="125" xfId="0" applyNumberFormat="1" applyFont="1" applyBorder="1" applyAlignment="1">
      <alignment horizontal="right"/>
      <protection locked="0"/>
    </xf>
    <xf numFmtId="39" fontId="10" fillId="0" borderId="125" xfId="0" applyNumberFormat="1" applyFont="1" applyBorder="1" applyAlignment="1">
      <alignment horizontal="center"/>
      <protection locked="0"/>
    </xf>
    <xf numFmtId="167" fontId="30" fillId="0" borderId="125" xfId="0" applyNumberFormat="1" applyFont="1" applyBorder="1" applyAlignment="1">
      <alignment horizontal="right"/>
      <protection locked="0"/>
    </xf>
    <xf numFmtId="37" fontId="98" fillId="0" borderId="125" xfId="0" applyNumberFormat="1" applyFont="1" applyBorder="1" applyAlignment="1">
      <alignment horizontal="right"/>
      <protection locked="0"/>
    </xf>
    <xf numFmtId="0" fontId="98" fillId="0" borderId="125" xfId="0" applyFont="1" applyBorder="1" applyAlignment="1">
      <alignment horizontal="left" wrapText="1"/>
      <protection locked="0"/>
    </xf>
    <xf numFmtId="0" fontId="30" fillId="0" borderId="125" xfId="13" applyFont="1" applyBorder="1" applyAlignment="1">
      <alignment horizontal="left" vertical="center" wrapText="1"/>
      <protection locked="0"/>
    </xf>
    <xf numFmtId="39" fontId="98"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0" fillId="0" borderId="125" xfId="0" applyFont="1" applyBorder="1" applyAlignment="1">
      <alignment horizontal="left" wrapText="1"/>
      <protection locked="0"/>
    </xf>
    <xf numFmtId="0" fontId="74" fillId="0" borderId="125" xfId="13" applyFont="1" applyBorder="1" applyAlignment="1">
      <alignment horizontal="left" wrapText="1"/>
      <protection locked="0"/>
    </xf>
    <xf numFmtId="0" fontId="12" fillId="0" borderId="125" xfId="0" applyFont="1" applyBorder="1" applyAlignment="1">
      <alignment horizontal="center" vertical="center"/>
      <protection locked="0"/>
    </xf>
    <xf numFmtId="167" fontId="101" fillId="0" borderId="125" xfId="0" applyNumberFormat="1" applyFont="1" applyBorder="1" applyAlignment="1">
      <alignment horizontal="right"/>
      <protection locked="0"/>
    </xf>
    <xf numFmtId="0" fontId="12" fillId="0" borderId="125" xfId="0" applyFont="1" applyBorder="1" applyAlignment="1">
      <alignment horizontal="center" vertical="top"/>
      <protection locked="0"/>
    </xf>
    <xf numFmtId="167" fontId="10" fillId="0" borderId="125" xfId="0" applyNumberFormat="1" applyFont="1" applyBorder="1" applyAlignment="1">
      <alignment horizontal="right"/>
      <protection locked="0"/>
    </xf>
    <xf numFmtId="4" fontId="10" fillId="0" borderId="125" xfId="0" applyNumberFormat="1" applyFont="1" applyBorder="1" applyAlignment="1">
      <alignment horizontal="right"/>
      <protection locked="0"/>
    </xf>
    <xf numFmtId="0" fontId="30" fillId="0" borderId="125" xfId="68" applyFont="1" applyBorder="1" applyAlignment="1">
      <alignment horizontal="left" wrapText="1"/>
      <protection locked="0"/>
    </xf>
    <xf numFmtId="167" fontId="30" fillId="0" borderId="125" xfId="68" applyNumberFormat="1" applyFont="1" applyBorder="1" applyAlignment="1">
      <alignment horizontal="right"/>
      <protection locked="0"/>
    </xf>
    <xf numFmtId="37" fontId="74" fillId="0" borderId="125" xfId="0" applyNumberFormat="1" applyFont="1" applyBorder="1" applyAlignment="1">
      <alignment horizontal="right"/>
      <protection locked="0"/>
    </xf>
    <xf numFmtId="9" fontId="68" fillId="0" borderId="125" xfId="0" applyNumberFormat="1" applyFont="1" applyBorder="1" applyAlignment="1">
      <alignment horizontal="left" wrapText="1"/>
      <protection locked="0"/>
    </xf>
    <xf numFmtId="0" fontId="74" fillId="0" borderId="125" xfId="0" applyFont="1" applyBorder="1" applyAlignment="1">
      <alignment horizontal="left" wrapText="1"/>
      <protection locked="0"/>
    </xf>
    <xf numFmtId="0" fontId="30" fillId="0" borderId="125" xfId="0" applyFont="1" applyBorder="1" applyAlignment="1">
      <alignment horizontal="left" wrapText="1"/>
      <protection locked="0"/>
    </xf>
    <xf numFmtId="4" fontId="74" fillId="5" borderId="125" xfId="0" applyNumberFormat="1" applyFont="1" applyFill="1" applyBorder="1" applyAlignment="1">
      <alignment horizontal="right"/>
      <protection locked="0"/>
    </xf>
    <xf numFmtId="37" fontId="139" fillId="0" borderId="125" xfId="0" applyNumberFormat="1" applyFont="1" applyBorder="1" applyAlignment="1">
      <alignment horizontal="right"/>
      <protection locked="0"/>
    </xf>
    <xf numFmtId="0" fontId="139" fillId="0" borderId="125" xfId="0" applyFont="1" applyBorder="1" applyAlignment="1">
      <alignment horizontal="left" wrapText="1"/>
      <protection locked="0"/>
    </xf>
    <xf numFmtId="0" fontId="59" fillId="0" borderId="125" xfId="0" applyFont="1" applyBorder="1" applyAlignment="1">
      <alignment horizontal="left" wrapText="1"/>
      <protection locked="0"/>
    </xf>
    <xf numFmtId="167" fontId="59" fillId="0" borderId="125" xfId="0" applyNumberFormat="1" applyFont="1" applyBorder="1" applyAlignment="1">
      <alignment horizontal="right"/>
      <protection locked="0"/>
    </xf>
    <xf numFmtId="4" fontId="139" fillId="5" borderId="125" xfId="0" applyNumberFormat="1" applyFont="1" applyFill="1" applyBorder="1" applyAlignment="1">
      <alignment horizontal="right"/>
      <protection locked="0"/>
    </xf>
    <xf numFmtId="0" fontId="230" fillId="0" borderId="125" xfId="0" applyFont="1" applyBorder="1" applyAlignment="1">
      <alignment horizontal="left" wrapText="1"/>
      <protection locked="0"/>
    </xf>
    <xf numFmtId="4" fontId="139" fillId="0" borderId="125" xfId="0" applyNumberFormat="1" applyFont="1" applyBorder="1" applyAlignment="1">
      <alignment horizontal="right"/>
      <protection locked="0"/>
    </xf>
    <xf numFmtId="0" fontId="30" fillId="0" borderId="125" xfId="0" applyFont="1" applyBorder="1" applyAlignment="1">
      <alignment horizontal="left" vertical="center" wrapText="1"/>
      <protection locked="0"/>
    </xf>
    <xf numFmtId="0" fontId="68" fillId="0" borderId="125" xfId="0" applyFont="1" applyBorder="1" applyAlignment="1">
      <alignment horizontal="left" wrapText="1"/>
      <protection locked="0"/>
    </xf>
    <xf numFmtId="39" fontId="68" fillId="0" borderId="125" xfId="0" applyNumberFormat="1" applyFont="1" applyBorder="1" applyAlignment="1">
      <alignment horizontal="right"/>
      <protection locked="0"/>
    </xf>
    <xf numFmtId="0" fontId="55" fillId="0" borderId="0" xfId="97" applyFont="1" applyAlignment="1" applyProtection="1">
      <alignment horizontal="left" vertical="top"/>
      <protection locked="0"/>
    </xf>
    <xf numFmtId="0" fontId="254" fillId="0" borderId="0" xfId="81" applyFill="1" applyBorder="1" applyAlignment="1" applyProtection="1">
      <alignment horizontal="left" vertical="center"/>
    </xf>
    <xf numFmtId="0" fontId="254" fillId="0" borderId="0" xfId="81" applyFill="1" applyBorder="1" applyAlignment="1" applyProtection="1">
      <alignment vertical="center"/>
    </xf>
    <xf numFmtId="0" fontId="0" fillId="0" borderId="129" xfId="0" applyBorder="1" applyAlignment="1">
      <alignment horizontal="left" vertical="top"/>
      <protection locked="0"/>
    </xf>
    <xf numFmtId="171" fontId="254" fillId="0" borderId="0" xfId="81" applyNumberFormat="1" applyFill="1" applyBorder="1" applyAlignment="1">
      <alignment vertical="top"/>
      <protection locked="0"/>
    </xf>
    <xf numFmtId="0" fontId="254" fillId="0" borderId="0" xfId="81" applyFill="1" applyBorder="1" applyAlignment="1">
      <alignment horizontal="left" vertical="center"/>
      <protection locked="0"/>
    </xf>
    <xf numFmtId="0" fontId="254" fillId="0" borderId="0" xfId="81" applyFill="1" applyBorder="1" applyAlignment="1">
      <alignment horizontal="left" vertical="top"/>
      <protection locked="0"/>
    </xf>
    <xf numFmtId="37" fontId="68" fillId="0" borderId="125" xfId="0" applyNumberFormat="1" applyFont="1" applyBorder="1" applyAlignment="1">
      <alignment horizontal="right"/>
      <protection locked="0"/>
    </xf>
    <xf numFmtId="0" fontId="306" fillId="0" borderId="0" xfId="81" applyFont="1" applyFill="1" applyBorder="1" applyAlignment="1" applyProtection="1">
      <alignment horizontal="left" vertical="top"/>
      <protection locked="0"/>
    </xf>
    <xf numFmtId="0" fontId="10" fillId="0" borderId="125" xfId="28" applyFont="1" applyBorder="1" applyAlignment="1">
      <alignment horizontal="left" wrapText="1"/>
      <protection locked="0"/>
    </xf>
    <xf numFmtId="167" fontId="10" fillId="0" borderId="125" xfId="28" applyNumberFormat="1" applyFont="1" applyBorder="1" applyAlignment="1">
      <alignment horizontal="right"/>
      <protection locked="0"/>
    </xf>
    <xf numFmtId="0" fontId="30" fillId="0" borderId="125" xfId="28" applyFont="1" applyBorder="1" applyAlignment="1">
      <alignment horizontal="left" wrapText="1"/>
      <protection locked="0"/>
    </xf>
    <xf numFmtId="37" fontId="98" fillId="0" borderId="125" xfId="28" applyNumberFormat="1" applyFont="1" applyBorder="1" applyAlignment="1">
      <alignment horizontal="right"/>
      <protection locked="0"/>
    </xf>
    <xf numFmtId="0" fontId="98" fillId="0" borderId="125" xfId="28" applyFont="1" applyBorder="1" applyAlignment="1">
      <alignment horizontal="left" wrapText="1"/>
      <protection locked="0"/>
    </xf>
    <xf numFmtId="39" fontId="98" fillId="0" borderId="125" xfId="28" applyNumberFormat="1" applyFont="1" applyBorder="1" applyAlignment="1">
      <alignment horizontal="right"/>
      <protection locked="0"/>
    </xf>
    <xf numFmtId="49" fontId="10" fillId="0" borderId="125" xfId="0" applyNumberFormat="1" applyFont="1" applyBorder="1" applyAlignment="1">
      <alignment horizontal="left" wrapText="1"/>
      <protection locked="0"/>
    </xf>
    <xf numFmtId="167" fontId="11" fillId="0" borderId="125" xfId="21" applyNumberFormat="1" applyFont="1" applyBorder="1" applyAlignment="1">
      <alignment horizontal="right"/>
    </xf>
    <xf numFmtId="37" fontId="10" fillId="0" borderId="125" xfId="63" applyNumberFormat="1" applyFont="1" applyBorder="1" applyAlignment="1">
      <alignment horizontal="right"/>
    </xf>
    <xf numFmtId="167" fontId="10" fillId="0" borderId="125" xfId="63" applyNumberFormat="1" applyFont="1" applyBorder="1" applyAlignment="1">
      <alignment horizontal="right"/>
    </xf>
    <xf numFmtId="37" fontId="68" fillId="0" borderId="125" xfId="63" applyNumberFormat="1" applyFont="1" applyBorder="1" applyAlignment="1">
      <alignment horizontal="right"/>
    </xf>
    <xf numFmtId="0" fontId="68" fillId="0" borderId="125" xfId="63" applyFont="1" applyBorder="1" applyAlignment="1">
      <alignment horizontal="left" wrapText="1"/>
    </xf>
    <xf numFmtId="39" fontId="68" fillId="0" borderId="125" xfId="63" applyNumberFormat="1" applyFont="1" applyBorder="1" applyAlignment="1">
      <alignment horizontal="right"/>
    </xf>
    <xf numFmtId="167" fontId="13" fillId="0" borderId="0" xfId="0" applyNumberFormat="1" applyFont="1" applyAlignment="1">
      <alignment horizontal="left" vertical="top"/>
      <protection locked="0"/>
    </xf>
    <xf numFmtId="167" fontId="10" fillId="0" borderId="30" xfId="68" applyNumberFormat="1" applyFont="1" applyBorder="1" applyAlignment="1">
      <alignment horizontal="right"/>
      <protection locked="0"/>
    </xf>
    <xf numFmtId="167" fontId="98" fillId="0" borderId="30" xfId="0" applyNumberFormat="1" applyFont="1" applyBorder="1" applyAlignment="1">
      <alignment horizontal="left" wrapText="1"/>
      <protection locked="0"/>
    </xf>
    <xf numFmtId="0" fontId="256" fillId="0" borderId="0" xfId="81" applyFont="1" applyFill="1" applyAlignment="1" applyProtection="1">
      <alignment horizontal="right" vertical="center"/>
      <protection locked="0"/>
    </xf>
    <xf numFmtId="171" fontId="39" fillId="0" borderId="15" xfId="0" applyNumberFormat="1" applyFont="1" applyBorder="1" applyAlignment="1">
      <alignment horizontal="right"/>
      <protection locked="0"/>
    </xf>
    <xf numFmtId="0" fontId="51" fillId="0" borderId="15" xfId="80" applyFont="1" applyBorder="1" applyAlignment="1" applyProtection="1"/>
    <xf numFmtId="167" fontId="51" fillId="0" borderId="15" xfId="80" applyNumberFormat="1" applyFont="1" applyBorder="1" applyAlignment="1" applyProtection="1"/>
    <xf numFmtId="39" fontId="10" fillId="0" borderId="15" xfId="80" applyNumberFormat="1" applyFont="1" applyBorder="1" applyAlignment="1">
      <alignment horizontal="right"/>
      <protection locked="0"/>
    </xf>
    <xf numFmtId="2" fontId="10" fillId="0" borderId="15" xfId="0" applyNumberFormat="1" applyFont="1" applyBorder="1" applyAlignment="1">
      <alignment horizontal="center"/>
      <protection locked="0"/>
    </xf>
    <xf numFmtId="0" fontId="37" fillId="7" borderId="0" xfId="98" applyFont="1" applyFill="1" applyAlignment="1">
      <alignment horizontal="left"/>
    </xf>
    <xf numFmtId="1" fontId="10" fillId="0" borderId="124" xfId="73" applyNumberFormat="1" applyFont="1" applyBorder="1" applyAlignment="1">
      <alignment horizontal="right"/>
      <protection locked="0"/>
    </xf>
    <xf numFmtId="0" fontId="39" fillId="0" borderId="123" xfId="0" applyFont="1" applyBorder="1" applyAlignment="1">
      <alignment horizontal="left" wrapText="1"/>
      <protection locked="0"/>
    </xf>
    <xf numFmtId="171" fontId="10" fillId="0" borderId="125" xfId="0" applyNumberFormat="1" applyFont="1" applyBorder="1" applyAlignment="1">
      <alignment horizontal="right"/>
      <protection locked="0"/>
    </xf>
    <xf numFmtId="0" fontId="173" fillId="0" borderId="0" xfId="99" applyFont="1" applyAlignment="1" applyProtection="1">
      <alignment horizontal="left" vertical="top"/>
      <protection locked="0"/>
    </xf>
    <xf numFmtId="0" fontId="7" fillId="0" borderId="0" xfId="99" applyAlignment="1" applyProtection="1">
      <alignment horizontal="left" vertical="top"/>
      <protection locked="0"/>
    </xf>
    <xf numFmtId="4" fontId="10" fillId="0" borderId="129" xfId="99" applyNumberFormat="1" applyFont="1" applyBorder="1" applyAlignment="1" applyProtection="1">
      <alignment horizontal="right"/>
      <protection locked="0"/>
    </xf>
    <xf numFmtId="0" fontId="55" fillId="0" borderId="0" xfId="99" applyFont="1" applyAlignment="1" applyProtection="1">
      <alignment horizontal="left" vertical="top"/>
      <protection locked="0"/>
    </xf>
    <xf numFmtId="0" fontId="68" fillId="0" borderId="129" xfId="99" applyFont="1" applyBorder="1" applyAlignment="1" applyProtection="1">
      <alignment horizontal="left" wrapText="1"/>
      <protection locked="0"/>
    </xf>
    <xf numFmtId="167" fontId="30" fillId="0" borderId="129" xfId="99" applyNumberFormat="1" applyFont="1" applyBorder="1" applyAlignment="1" applyProtection="1">
      <alignment horizontal="right"/>
      <protection locked="0"/>
    </xf>
    <xf numFmtId="0" fontId="7" fillId="0" borderId="129" xfId="99" applyBorder="1" applyAlignment="1" applyProtection="1">
      <alignment horizontal="left" vertical="top"/>
      <protection locked="0"/>
    </xf>
    <xf numFmtId="0" fontId="39" fillId="0" borderId="129" xfId="99" applyFont="1" applyBorder="1" applyAlignment="1" applyProtection="1">
      <alignment horizontal="left" wrapText="1"/>
      <protection locked="0"/>
    </xf>
    <xf numFmtId="0" fontId="307" fillId="0" borderId="0" xfId="88" applyFont="1" applyFill="1" applyAlignment="1" applyProtection="1">
      <alignment horizontal="left" vertical="center"/>
      <protection locked="0"/>
    </xf>
    <xf numFmtId="0" fontId="27" fillId="0" borderId="129" xfId="0" applyFont="1" applyBorder="1" applyAlignment="1" applyProtection="1">
      <alignment horizontal="right"/>
    </xf>
    <xf numFmtId="0" fontId="27" fillId="0" borderId="129" xfId="0" applyFont="1" applyBorder="1" applyAlignment="1" applyProtection="1">
      <alignment horizontal="left"/>
    </xf>
    <xf numFmtId="0" fontId="11" fillId="0" borderId="129" xfId="0" applyFont="1" applyBorder="1" applyAlignment="1" applyProtection="1"/>
    <xf numFmtId="4" fontId="11" fillId="0" borderId="129" xfId="0" applyNumberFormat="1" applyFont="1" applyBorder="1" applyAlignment="1" applyProtection="1"/>
    <xf numFmtId="0" fontId="11" fillId="0" borderId="129" xfId="21" applyFont="1" applyBorder="1"/>
    <xf numFmtId="0" fontId="76" fillId="0" borderId="129" xfId="0" applyFont="1" applyBorder="1" applyAlignment="1" applyProtection="1"/>
    <xf numFmtId="0" fontId="51" fillId="0" borderId="129" xfId="0" applyFont="1" applyBorder="1" applyAlignment="1" applyProtection="1"/>
    <xf numFmtId="167" fontId="30" fillId="0" borderId="129" xfId="0" applyNumberFormat="1" applyFont="1" applyBorder="1" applyAlignment="1">
      <alignment horizontal="right" wrapText="1"/>
      <protection locked="0"/>
    </xf>
    <xf numFmtId="0" fontId="0" fillId="0" borderId="129" xfId="0" applyBorder="1" applyAlignment="1" applyProtection="1"/>
    <xf numFmtId="0" fontId="30" fillId="0" borderId="129" xfId="0" applyFont="1" applyBorder="1" applyAlignment="1">
      <alignment horizontal="left" vertical="center" wrapText="1"/>
      <protection locked="0"/>
    </xf>
    <xf numFmtId="0" fontId="27" fillId="0" borderId="129" xfId="0" applyFont="1" applyBorder="1" applyAlignment="1" applyProtection="1"/>
    <xf numFmtId="4" fontId="27" fillId="0" borderId="129" xfId="0" applyNumberFormat="1" applyFont="1" applyBorder="1" applyAlignment="1" applyProtection="1"/>
    <xf numFmtId="49" fontId="27" fillId="0" borderId="129" xfId="0" applyNumberFormat="1" applyFont="1" applyBorder="1" applyAlignment="1" applyProtection="1">
      <alignment horizontal="right"/>
    </xf>
    <xf numFmtId="49" fontId="11" fillId="0" borderId="129" xfId="21" applyNumberFormat="1" applyFont="1" applyBorder="1"/>
    <xf numFmtId="0" fontId="45" fillId="0" borderId="129" xfId="0" applyFont="1" applyBorder="1" applyAlignment="1">
      <alignment horizontal="left" vertical="center" wrapText="1"/>
      <protection locked="0"/>
    </xf>
    <xf numFmtId="0" fontId="76" fillId="0" borderId="129" xfId="0" applyFont="1" applyBorder="1" applyAlignment="1" applyProtection="1">
      <alignment vertical="center" wrapText="1"/>
    </xf>
    <xf numFmtId="0" fontId="11" fillId="0" borderId="129" xfId="99" applyFont="1" applyBorder="1" applyAlignment="1">
      <alignment horizontal="left"/>
    </xf>
    <xf numFmtId="0" fontId="10" fillId="0" borderId="129" xfId="99" applyFont="1" applyBorder="1" applyAlignment="1" applyProtection="1">
      <alignment horizontal="left" wrapText="1"/>
      <protection locked="0"/>
    </xf>
    <xf numFmtId="0" fontId="11" fillId="0" borderId="129" xfId="99" applyFont="1" applyBorder="1"/>
    <xf numFmtId="167" fontId="11" fillId="0" borderId="129" xfId="99" applyNumberFormat="1" applyFont="1" applyBorder="1"/>
    <xf numFmtId="39" fontId="10" fillId="0" borderId="129" xfId="99" applyNumberFormat="1" applyFont="1" applyBorder="1" applyAlignment="1" applyProtection="1">
      <alignment horizontal="center"/>
      <protection locked="0"/>
    </xf>
    <xf numFmtId="167" fontId="10" fillId="0" borderId="129" xfId="99" applyNumberFormat="1" applyFont="1" applyBorder="1" applyAlignment="1" applyProtection="1">
      <alignment horizontal="right"/>
      <protection locked="0"/>
    </xf>
    <xf numFmtId="49" fontId="10" fillId="0" borderId="129" xfId="99" applyNumberFormat="1" applyFont="1" applyBorder="1" applyAlignment="1" applyProtection="1">
      <alignment horizontal="right"/>
      <protection locked="0"/>
    </xf>
    <xf numFmtId="0" fontId="11" fillId="0" borderId="129" xfId="21" applyFont="1" applyBorder="1" applyAlignment="1">
      <alignment vertical="center"/>
    </xf>
    <xf numFmtId="0" fontId="30" fillId="0" borderId="129" xfId="99" applyFont="1" applyBorder="1" applyAlignment="1" applyProtection="1">
      <alignment horizontal="left" wrapText="1"/>
      <protection locked="0"/>
    </xf>
    <xf numFmtId="49" fontId="39" fillId="0" borderId="129" xfId="0" applyNumberFormat="1" applyFont="1" applyBorder="1" applyAlignment="1">
      <alignment horizontal="right"/>
      <protection locked="0"/>
    </xf>
    <xf numFmtId="0" fontId="51" fillId="0" borderId="129" xfId="99" applyFont="1" applyBorder="1"/>
    <xf numFmtId="167" fontId="51" fillId="0" borderId="129" xfId="99" applyNumberFormat="1" applyFont="1" applyBorder="1"/>
    <xf numFmtId="4" fontId="51" fillId="0" borderId="129" xfId="99" applyNumberFormat="1" applyFont="1" applyBorder="1"/>
    <xf numFmtId="49" fontId="51" fillId="0" borderId="129" xfId="99" applyNumberFormat="1" applyFont="1" applyBorder="1" applyAlignment="1">
      <alignment horizontal="left"/>
    </xf>
    <xf numFmtId="4" fontId="10" fillId="0" borderId="125" xfId="99" applyNumberFormat="1" applyFont="1" applyBorder="1" applyAlignment="1" applyProtection="1">
      <alignment horizontal="right"/>
      <protection locked="0"/>
    </xf>
    <xf numFmtId="49" fontId="10" fillId="0" borderId="125" xfId="73" applyNumberFormat="1" applyFont="1" applyBorder="1" applyAlignment="1">
      <alignment horizontal="right"/>
      <protection locked="0"/>
    </xf>
    <xf numFmtId="49" fontId="39" fillId="0" borderId="125" xfId="0" applyNumberFormat="1" applyFont="1" applyBorder="1" applyAlignment="1">
      <alignment horizontal="left" wrapText="1"/>
      <protection locked="0"/>
    </xf>
    <xf numFmtId="1" fontId="10" fillId="0" borderId="125" xfId="0" applyNumberFormat="1" applyFont="1" applyBorder="1" applyAlignment="1">
      <alignment horizontal="right"/>
      <protection locked="0"/>
    </xf>
    <xf numFmtId="1" fontId="39" fillId="0" borderId="125" xfId="0" applyNumberFormat="1" applyFont="1" applyBorder="1" applyAlignment="1">
      <alignment horizontal="right"/>
      <protection locked="0"/>
    </xf>
    <xf numFmtId="0" fontId="293" fillId="0" borderId="0" xfId="88" applyFont="1" applyFill="1" applyAlignment="1" applyProtection="1">
      <alignment horizontal="left" vertical="center"/>
      <protection locked="0"/>
    </xf>
    <xf numFmtId="0" fontId="14" fillId="0" borderId="0" xfId="8" applyFont="1" applyAlignment="1">
      <alignment horizontal="left" vertical="top" wrapText="1"/>
    </xf>
    <xf numFmtId="0" fontId="15" fillId="0" borderId="0" xfId="8" applyFont="1"/>
    <xf numFmtId="14" fontId="20" fillId="0" borderId="0" xfId="8" applyNumberFormat="1" applyFont="1" applyAlignment="1">
      <alignment horizontal="left" vertical="center"/>
    </xf>
    <xf numFmtId="14" fontId="20" fillId="0" borderId="0" xfId="8" applyNumberFormat="1" applyFont="1" applyAlignment="1">
      <alignment horizontal="left"/>
    </xf>
    <xf numFmtId="0" fontId="21" fillId="0" borderId="0" xfId="8" applyFont="1" applyAlignment="1">
      <alignment horizontal="left"/>
    </xf>
    <xf numFmtId="4" fontId="14" fillId="0" borderId="0" xfId="8" applyNumberFormat="1" applyFont="1" applyAlignment="1">
      <alignment vertical="center"/>
    </xf>
    <xf numFmtId="4" fontId="19" fillId="0" borderId="0" xfId="8" applyNumberFormat="1" applyFont="1" applyAlignment="1">
      <alignment vertical="center"/>
    </xf>
    <xf numFmtId="3" fontId="28" fillId="0" borderId="0" xfId="8" applyNumberFormat="1" applyFont="1"/>
    <xf numFmtId="3" fontId="14" fillId="0" borderId="0" xfId="8" applyNumberFormat="1" applyFont="1"/>
    <xf numFmtId="4" fontId="14" fillId="0" borderId="0" xfId="8" applyNumberFormat="1" applyFont="1"/>
    <xf numFmtId="0" fontId="28" fillId="0" borderId="0" xfId="8" applyFont="1"/>
    <xf numFmtId="3" fontId="14" fillId="0" borderId="0" xfId="8" applyNumberFormat="1" applyFont="1" applyAlignment="1">
      <alignment horizontal="center" vertical="center"/>
    </xf>
    <xf numFmtId="3" fontId="28" fillId="0" borderId="0" xfId="8" applyNumberFormat="1" applyFont="1" applyAlignment="1">
      <alignment horizontal="right"/>
    </xf>
    <xf numFmtId="4" fontId="19" fillId="0" borderId="0" xfId="8" applyNumberFormat="1" applyFont="1" applyAlignment="1">
      <alignment horizontal="center" vertical="center"/>
    </xf>
    <xf numFmtId="3" fontId="28" fillId="0" borderId="0" xfId="8" applyNumberFormat="1" applyFont="1" applyAlignment="1">
      <alignment horizontal="left"/>
    </xf>
    <xf numFmtId="4" fontId="11" fillId="0" borderId="0" xfId="16" applyNumberFormat="1" applyFont="1"/>
    <xf numFmtId="0" fontId="11" fillId="0" borderId="0" xfId="16" applyFont="1" applyAlignment="1">
      <alignment wrapText="1"/>
    </xf>
    <xf numFmtId="0" fontId="22" fillId="0" borderId="0" xfId="16" applyFont="1" applyAlignment="1">
      <alignment wrapText="1"/>
    </xf>
    <xf numFmtId="0" fontId="22" fillId="0" borderId="0" xfId="16" applyFont="1"/>
    <xf numFmtId="0" fontId="302" fillId="0" borderId="0" xfId="81" applyFont="1" applyFill="1" applyAlignment="1">
      <alignment horizontal="center" vertical="top"/>
      <protection locked="0"/>
    </xf>
    <xf numFmtId="0" fontId="254" fillId="0" borderId="0" xfId="81" applyFill="1" applyBorder="1" applyAlignment="1" applyProtection="1"/>
    <xf numFmtId="171" fontId="254" fillId="0" borderId="0" xfId="81" applyNumberFormat="1" applyFill="1" applyBorder="1" applyAlignment="1">
      <alignment vertical="center"/>
      <protection locked="0"/>
    </xf>
    <xf numFmtId="0" fontId="0" fillId="0" borderId="0" xfId="0" applyAlignment="1" applyProtection="1">
      <alignment horizontal="right"/>
    </xf>
    <xf numFmtId="0" fontId="270" fillId="0" borderId="0" xfId="0" applyFont="1" applyAlignment="1" applyProtection="1"/>
    <xf numFmtId="0" fontId="271" fillId="0" borderId="0" xfId="0" applyFont="1" applyAlignment="1" applyProtection="1"/>
    <xf numFmtId="0" fontId="99" fillId="0" borderId="0" xfId="0" applyFont="1" applyAlignment="1">
      <alignment horizontal="right" vertical="center"/>
      <protection locked="0"/>
    </xf>
    <xf numFmtId="0" fontId="55" fillId="0" borderId="0" xfId="0" applyFont="1" applyAlignment="1">
      <alignment horizontal="center" vertical="center"/>
      <protection locked="0"/>
    </xf>
    <xf numFmtId="0" fontId="14" fillId="0" borderId="0" xfId="59" applyAlignment="1">
      <alignment wrapText="1"/>
    </xf>
    <xf numFmtId="167" fontId="96" fillId="0" borderId="125" xfId="0" applyNumberFormat="1" applyFont="1" applyBorder="1" applyAlignment="1">
      <alignment horizontal="left" vertical="top"/>
      <protection locked="0"/>
    </xf>
    <xf numFmtId="39" fontId="123" fillId="0" borderId="125" xfId="0" applyNumberFormat="1" applyFont="1" applyBorder="1" applyAlignment="1">
      <alignment horizontal="right" vertical="center"/>
      <protection locked="0"/>
    </xf>
    <xf numFmtId="0" fontId="30" fillId="0" borderId="125" xfId="0" applyFont="1" applyBorder="1" applyAlignment="1" applyProtection="1">
      <alignment horizontal="left" wrapText="1"/>
    </xf>
    <xf numFmtId="0" fontId="74" fillId="0" borderId="125" xfId="0" applyFont="1" applyBorder="1" applyAlignment="1" applyProtection="1">
      <alignment horizontal="left" wrapText="1"/>
    </xf>
    <xf numFmtId="1" fontId="10" fillId="0" borderId="125" xfId="68" applyNumberFormat="1" applyFont="1" applyBorder="1" applyAlignment="1">
      <alignment horizontal="right"/>
      <protection locked="0"/>
    </xf>
    <xf numFmtId="4" fontId="10" fillId="0" borderId="125" xfId="68" applyNumberFormat="1" applyFont="1" applyBorder="1" applyAlignment="1">
      <alignment horizontal="right"/>
      <protection locked="0"/>
    </xf>
    <xf numFmtId="1" fontId="39" fillId="0" borderId="125" xfId="68" applyNumberFormat="1" applyFont="1" applyBorder="1" applyAlignment="1">
      <alignment horizontal="right"/>
      <protection locked="0"/>
    </xf>
    <xf numFmtId="49" fontId="39" fillId="0" borderId="125" xfId="68" applyNumberFormat="1" applyFont="1" applyBorder="1" applyAlignment="1">
      <alignment horizontal="left" wrapText="1"/>
      <protection locked="0"/>
    </xf>
    <xf numFmtId="0" fontId="39" fillId="0" borderId="125" xfId="68" applyFont="1" applyBorder="1" applyAlignment="1">
      <alignment horizontal="left" wrapText="1"/>
      <protection locked="0"/>
    </xf>
    <xf numFmtId="167" fontId="69" fillId="0" borderId="125" xfId="68" applyNumberFormat="1" applyBorder="1" applyAlignment="1">
      <alignment horizontal="left" vertical="top"/>
      <protection locked="0"/>
    </xf>
    <xf numFmtId="4" fontId="39" fillId="0" borderId="125" xfId="68" applyNumberFormat="1" applyFont="1" applyBorder="1" applyAlignment="1">
      <alignment horizontal="right"/>
      <protection locked="0"/>
    </xf>
    <xf numFmtId="4" fontId="124" fillId="0" borderId="125" xfId="68" applyNumberFormat="1" applyFont="1" applyBorder="1" applyAlignment="1">
      <alignment horizontal="right"/>
      <protection locked="0"/>
    </xf>
    <xf numFmtId="39" fontId="147"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4" fillId="0" borderId="125" xfId="0" applyFont="1" applyBorder="1" applyAlignment="1">
      <alignment horizontal="center" vertical="center"/>
      <protection locked="0"/>
    </xf>
    <xf numFmtId="1" fontId="68" fillId="0" borderId="125" xfId="0" applyNumberFormat="1" applyFont="1" applyBorder="1" applyAlignment="1">
      <alignment horizontal="right"/>
      <protection locked="0"/>
    </xf>
    <xf numFmtId="4" fontId="39" fillId="0" borderId="125" xfId="0" applyNumberFormat="1" applyFont="1" applyBorder="1" applyAlignment="1">
      <alignment horizontal="right"/>
      <protection locked="0"/>
    </xf>
    <xf numFmtId="49" fontId="10" fillId="0" borderId="125" xfId="92" applyNumberFormat="1" applyFont="1" applyBorder="1" applyAlignment="1">
      <alignment horizontal="left" wrapText="1"/>
      <protection locked="0"/>
    </xf>
    <xf numFmtId="167" fontId="96"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8" fillId="0" borderId="0" xfId="81" applyFont="1" applyFill="1" applyAlignment="1">
      <alignment horizontal="left" vertical="top"/>
      <protection locked="0"/>
    </xf>
    <xf numFmtId="0" fontId="308" fillId="0" borderId="0" xfId="81" applyFont="1" applyFill="1" applyAlignment="1" applyProtection="1"/>
    <xf numFmtId="0" fontId="309" fillId="0" borderId="0" xfId="88" applyFont="1" applyFill="1" applyAlignment="1" applyProtection="1">
      <alignment horizontal="left" vertical="center"/>
      <protection locked="0"/>
    </xf>
    <xf numFmtId="0" fontId="13" fillId="0" borderId="0" xfId="0" applyFont="1" applyAlignment="1">
      <alignment horizontal="center" vertical="center"/>
      <protection locked="0"/>
    </xf>
    <xf numFmtId="0" fontId="166" fillId="0" borderId="0" xfId="51" applyFont="1" applyFill="1" applyBorder="1" applyAlignment="1">
      <alignment horizontal="left" vertical="center"/>
      <protection locked="0"/>
    </xf>
    <xf numFmtId="167" fontId="10" fillId="0" borderId="124" xfId="71" applyNumberFormat="1" applyFont="1" applyBorder="1" applyAlignment="1" applyProtection="1">
      <alignment horizontal="right"/>
      <protection locked="0"/>
    </xf>
    <xf numFmtId="37" fontId="10" fillId="0" borderId="125" xfId="71" applyNumberFormat="1" applyFont="1" applyBorder="1" applyAlignment="1" applyProtection="1">
      <alignment horizontal="right"/>
      <protection locked="0"/>
    </xf>
    <xf numFmtId="0" fontId="10" fillId="0" borderId="125" xfId="71" applyFont="1" applyBorder="1" applyAlignment="1" applyProtection="1">
      <alignment horizontal="left" wrapText="1"/>
      <protection locked="0"/>
    </xf>
    <xf numFmtId="0" fontId="30" fillId="0" borderId="125" xfId="71" applyFont="1" applyBorder="1" applyAlignment="1" applyProtection="1">
      <alignment horizontal="left" wrapText="1"/>
      <protection locked="0"/>
    </xf>
    <xf numFmtId="167" fontId="74" fillId="0" borderId="125" xfId="71" applyNumberFormat="1" applyFont="1" applyBorder="1" applyAlignment="1" applyProtection="1">
      <alignment horizontal="right"/>
      <protection locked="0"/>
    </xf>
    <xf numFmtId="39" fontId="10" fillId="0" borderId="125" xfId="71" applyNumberFormat="1" applyFont="1" applyBorder="1" applyAlignment="1" applyProtection="1">
      <alignment horizontal="right"/>
      <protection locked="0"/>
    </xf>
    <xf numFmtId="37" fontId="68" fillId="0" borderId="125" xfId="71" applyNumberFormat="1" applyFont="1" applyBorder="1" applyAlignment="1" applyProtection="1">
      <alignment horizontal="right"/>
      <protection locked="0"/>
    </xf>
    <xf numFmtId="0" fontId="68" fillId="0" borderId="125" xfId="71" applyFont="1" applyBorder="1" applyAlignment="1" applyProtection="1">
      <alignment horizontal="left" wrapText="1"/>
      <protection locked="0"/>
    </xf>
    <xf numFmtId="0" fontId="123" fillId="0" borderId="125" xfId="71" applyFont="1" applyBorder="1" applyAlignment="1" applyProtection="1">
      <alignment horizontal="center" vertical="center" wrapText="1"/>
      <protection locked="0"/>
    </xf>
    <xf numFmtId="167" fontId="30" fillId="0" borderId="125" xfId="71" applyNumberFormat="1" applyFont="1" applyBorder="1" applyAlignment="1" applyProtection="1">
      <alignment horizontal="right"/>
      <protection locked="0"/>
    </xf>
    <xf numFmtId="39" fontId="68" fillId="0" borderId="125" xfId="71" applyNumberFormat="1" applyFont="1" applyBorder="1" applyAlignment="1" applyProtection="1">
      <alignment horizontal="right"/>
      <protection locked="0"/>
    </xf>
    <xf numFmtId="2" fontId="37" fillId="0" borderId="125" xfId="71" applyNumberFormat="1" applyFont="1" applyBorder="1" applyAlignment="1" applyProtection="1">
      <alignment horizontal="left" vertical="center"/>
      <protection locked="0"/>
    </xf>
    <xf numFmtId="0" fontId="9" fillId="0" borderId="125" xfId="71" applyBorder="1" applyAlignment="1" applyProtection="1">
      <alignment horizontal="left" vertical="top"/>
      <protection locked="0"/>
    </xf>
    <xf numFmtId="0" fontId="41" fillId="0" borderId="125" xfId="71" applyFont="1" applyBorder="1" applyAlignment="1" applyProtection="1">
      <alignment horizontal="center" vertical="center"/>
      <protection locked="0"/>
    </xf>
    <xf numFmtId="0" fontId="30" fillId="0" borderId="125" xfId="71" applyFont="1" applyBorder="1" applyAlignment="1" applyProtection="1">
      <alignment horizontal="left" vertical="center" wrapText="1"/>
      <protection locked="0"/>
    </xf>
    <xf numFmtId="2" fontId="30" fillId="0" borderId="125" xfId="71" applyNumberFormat="1" applyFont="1" applyBorder="1" applyAlignment="1" applyProtection="1">
      <alignment horizontal="right"/>
      <protection locked="0"/>
    </xf>
    <xf numFmtId="4" fontId="10" fillId="0" borderId="125" xfId="71" applyNumberFormat="1" applyFont="1" applyBorder="1" applyAlignment="1" applyProtection="1">
      <alignment horizontal="right"/>
      <protection locked="0"/>
    </xf>
    <xf numFmtId="0" fontId="30" fillId="0" borderId="125" xfId="37" applyFont="1" applyBorder="1" applyAlignment="1">
      <alignment horizontal="left" wrapText="1"/>
    </xf>
    <xf numFmtId="0" fontId="39" fillId="0" borderId="125" xfId="3" applyFont="1" applyBorder="1" applyAlignment="1" applyProtection="1">
      <alignment horizontal="left" wrapText="1"/>
      <protection locked="0"/>
    </xf>
    <xf numFmtId="167" fontId="39" fillId="0" borderId="125" xfId="3" applyNumberFormat="1" applyFont="1" applyBorder="1" applyAlignment="1" applyProtection="1">
      <alignment horizontal="right"/>
      <protection locked="0"/>
    </xf>
    <xf numFmtId="39" fontId="39" fillId="0" borderId="125" xfId="3" applyNumberFormat="1" applyFont="1" applyBorder="1" applyAlignment="1" applyProtection="1">
      <alignment horizontal="right"/>
      <protection locked="0"/>
    </xf>
    <xf numFmtId="49" fontId="10" fillId="0" borderId="125" xfId="71" applyNumberFormat="1" applyFont="1" applyBorder="1" applyAlignment="1" applyProtection="1">
      <alignment horizontal="left" wrapText="1"/>
      <protection locked="0"/>
    </xf>
    <xf numFmtId="0" fontId="136" fillId="0" borderId="125" xfId="71" applyFont="1" applyBorder="1" applyAlignment="1" applyProtection="1">
      <alignment horizontal="left" vertical="center" wrapText="1"/>
      <protection locked="0"/>
    </xf>
    <xf numFmtId="39" fontId="10" fillId="0" borderId="125" xfId="71" applyNumberFormat="1" applyFont="1" applyBorder="1" applyAlignment="1" applyProtection="1">
      <alignment horizontal="right" vertical="center"/>
      <protection locked="0"/>
    </xf>
    <xf numFmtId="37" fontId="74" fillId="0" borderId="125" xfId="71" applyNumberFormat="1" applyFont="1" applyBorder="1" applyAlignment="1" applyProtection="1">
      <alignment horizontal="right"/>
      <protection locked="0"/>
    </xf>
    <xf numFmtId="0" fontId="74" fillId="0" borderId="125" xfId="71" applyFont="1" applyBorder="1" applyAlignment="1" applyProtection="1">
      <alignment horizontal="left" wrapText="1"/>
      <protection locked="0"/>
    </xf>
    <xf numFmtId="4" fontId="74" fillId="5" borderId="125" xfId="71" applyNumberFormat="1" applyFont="1" applyFill="1" applyBorder="1" applyAlignment="1" applyProtection="1">
      <alignment horizontal="right"/>
      <protection locked="0"/>
    </xf>
    <xf numFmtId="37" fontId="139" fillId="0" borderId="125" xfId="71" applyNumberFormat="1" applyFont="1" applyBorder="1" applyAlignment="1" applyProtection="1">
      <alignment horizontal="right"/>
      <protection locked="0"/>
    </xf>
    <xf numFmtId="0" fontId="230" fillId="0" borderId="125" xfId="71" applyFont="1" applyBorder="1" applyAlignment="1" applyProtection="1">
      <alignment horizontal="left" wrapText="1"/>
      <protection locked="0"/>
    </xf>
    <xf numFmtId="0" fontId="139" fillId="0" borderId="125" xfId="71" applyFont="1" applyBorder="1" applyAlignment="1" applyProtection="1">
      <alignment horizontal="left" wrapText="1"/>
      <protection locked="0"/>
    </xf>
    <xf numFmtId="0" fontId="59" fillId="0" borderId="125" xfId="71" applyFont="1" applyBorder="1" applyAlignment="1" applyProtection="1">
      <alignment horizontal="left" wrapText="1"/>
      <protection locked="0"/>
    </xf>
    <xf numFmtId="167" fontId="59" fillId="0" borderId="125" xfId="71" applyNumberFormat="1" applyFont="1" applyBorder="1" applyAlignment="1" applyProtection="1">
      <alignment horizontal="right"/>
      <protection locked="0"/>
    </xf>
    <xf numFmtId="4" fontId="139" fillId="5" borderId="125" xfId="71" applyNumberFormat="1" applyFont="1" applyFill="1" applyBorder="1" applyAlignment="1" applyProtection="1">
      <alignment horizontal="right"/>
      <protection locked="0"/>
    </xf>
    <xf numFmtId="39" fontId="10" fillId="0" borderId="125" xfId="71" applyNumberFormat="1" applyFont="1" applyBorder="1" applyAlignment="1" applyProtection="1">
      <alignment horizontal="center"/>
      <protection locked="0"/>
    </xf>
    <xf numFmtId="0" fontId="98" fillId="0" borderId="125" xfId="71" applyFont="1" applyBorder="1" applyAlignment="1" applyProtection="1">
      <alignment horizontal="left" wrapText="1"/>
      <protection locked="0"/>
    </xf>
    <xf numFmtId="0" fontId="74" fillId="0" borderId="125" xfId="28" applyFont="1" applyBorder="1" applyAlignment="1">
      <alignment horizontal="left" wrapText="1"/>
      <protection locked="0"/>
    </xf>
    <xf numFmtId="39" fontId="30" fillId="0" borderId="125" xfId="3" applyNumberFormat="1" applyFont="1" applyBorder="1" applyAlignment="1" applyProtection="1">
      <alignment horizontal="right"/>
      <protection locked="0"/>
    </xf>
    <xf numFmtId="167" fontId="12" fillId="0" borderId="125" xfId="3" applyNumberFormat="1" applyBorder="1"/>
    <xf numFmtId="7" fontId="75" fillId="0" borderId="125" xfId="60" applyNumberFormat="1" applyFont="1" applyBorder="1" applyAlignment="1">
      <alignment horizontal="center" vertical="center"/>
      <protection locked="0"/>
    </xf>
    <xf numFmtId="175" fontId="75" fillId="0" borderId="125" xfId="51" applyNumberFormat="1" applyFont="1" applyFill="1" applyBorder="1" applyAlignment="1">
      <alignment horizontal="center" vertical="center"/>
      <protection locked="0"/>
    </xf>
    <xf numFmtId="0" fontId="298" fillId="0" borderId="125" xfId="3" applyFont="1" applyBorder="1" applyAlignment="1" applyProtection="1">
      <alignment horizontal="left" wrapText="1"/>
      <protection locked="0"/>
    </xf>
    <xf numFmtId="0" fontId="10" fillId="0" borderId="125" xfId="25" applyFont="1" applyBorder="1" applyAlignment="1" applyProtection="1">
      <alignment horizontal="left" wrapText="1"/>
      <protection locked="0"/>
    </xf>
    <xf numFmtId="167" fontId="10" fillId="0" borderId="125" xfId="3" applyNumberFormat="1" applyFont="1" applyBorder="1" applyAlignment="1" applyProtection="1">
      <alignment horizontal="right" wrapText="1"/>
      <protection locked="0"/>
    </xf>
    <xf numFmtId="1" fontId="10" fillId="0" borderId="125" xfId="71" applyNumberFormat="1" applyFont="1" applyBorder="1" applyAlignment="1">
      <alignment horizontal="right"/>
    </xf>
    <xf numFmtId="4" fontId="10" fillId="0" borderId="125" xfId="71" applyNumberFormat="1" applyFont="1" applyBorder="1" applyAlignment="1">
      <alignment horizontal="right"/>
    </xf>
    <xf numFmtId="49" fontId="10" fillId="0" borderId="125" xfId="71" applyNumberFormat="1" applyFont="1" applyBorder="1" applyAlignment="1" applyProtection="1">
      <alignment horizontal="right" wrapText="1"/>
      <protection locked="0"/>
    </xf>
    <xf numFmtId="0" fontId="30" fillId="0" borderId="125" xfId="25" applyFont="1" applyBorder="1" applyAlignment="1" applyProtection="1">
      <alignment horizontal="left" wrapText="1"/>
      <protection locked="0"/>
    </xf>
    <xf numFmtId="167" fontId="30" fillId="0" borderId="125" xfId="32" applyNumberFormat="1" applyFont="1" applyBorder="1" applyAlignment="1" applyProtection="1">
      <alignment horizontal="right"/>
      <protection locked="0"/>
    </xf>
    <xf numFmtId="37" fontId="10" fillId="0" borderId="125" xfId="25" applyNumberFormat="1" applyFont="1" applyBorder="1" applyAlignment="1" applyProtection="1">
      <alignment horizontal="right"/>
      <protection locked="0"/>
    </xf>
    <xf numFmtId="37" fontId="56" fillId="0" borderId="125" xfId="3" applyNumberFormat="1" applyFont="1" applyBorder="1" applyAlignment="1" applyProtection="1">
      <alignment horizontal="right"/>
      <protection locked="0"/>
    </xf>
    <xf numFmtId="0" fontId="56" fillId="0" borderId="125" xfId="3" applyFont="1" applyBorder="1" applyAlignment="1" applyProtection="1">
      <alignment horizontal="left" wrapText="1"/>
      <protection locked="0"/>
    </xf>
    <xf numFmtId="167" fontId="56" fillId="0" borderId="125" xfId="3" applyNumberFormat="1" applyFont="1" applyBorder="1" applyAlignment="1" applyProtection="1">
      <alignment horizontal="right"/>
      <protection locked="0"/>
    </xf>
    <xf numFmtId="39" fontId="56" fillId="0" borderId="125" xfId="3" applyNumberFormat="1" applyFont="1" applyBorder="1" applyAlignment="1" applyProtection="1">
      <alignment horizontal="right"/>
      <protection locked="0"/>
    </xf>
    <xf numFmtId="0" fontId="59" fillId="0" borderId="125" xfId="25" applyFont="1" applyBorder="1" applyAlignment="1" applyProtection="1">
      <alignment horizontal="left" wrapText="1"/>
      <protection locked="0"/>
    </xf>
    <xf numFmtId="0" fontId="59" fillId="0" borderId="125" xfId="3" applyFont="1" applyBorder="1" applyAlignment="1" applyProtection="1">
      <alignment horizontal="left" wrapText="1"/>
      <protection locked="0"/>
    </xf>
    <xf numFmtId="167" fontId="59" fillId="0" borderId="125" xfId="3" applyNumberFormat="1" applyFont="1" applyBorder="1" applyAlignment="1" applyProtection="1">
      <alignment horizontal="right"/>
      <protection locked="0"/>
    </xf>
    <xf numFmtId="39" fontId="59" fillId="0" borderId="125" xfId="3" applyNumberFormat="1" applyFont="1" applyBorder="1" applyAlignment="1" applyProtection="1">
      <alignment horizontal="right"/>
      <protection locked="0"/>
    </xf>
    <xf numFmtId="1" fontId="10" fillId="0" borderId="125" xfId="71" applyNumberFormat="1" applyFont="1" applyBorder="1" applyAlignment="1" applyProtection="1">
      <alignment horizontal="right"/>
      <protection locked="0"/>
    </xf>
    <xf numFmtId="37" fontId="10" fillId="0" borderId="125" xfId="69" applyNumberFormat="1" applyFont="1" applyBorder="1" applyAlignment="1" applyProtection="1">
      <alignment horizontal="right"/>
      <protection locked="0"/>
    </xf>
    <xf numFmtId="49" fontId="10" fillId="0" borderId="125" xfId="69" applyNumberFormat="1" applyFont="1" applyBorder="1" applyAlignment="1" applyProtection="1">
      <alignment horizontal="left" wrapText="1"/>
      <protection locked="0"/>
    </xf>
    <xf numFmtId="0" fontId="39" fillId="0" borderId="125" xfId="69" applyFont="1" applyBorder="1" applyAlignment="1" applyProtection="1">
      <alignment horizontal="left" wrapText="1"/>
      <protection locked="0"/>
    </xf>
    <xf numFmtId="4" fontId="10" fillId="0" borderId="125" xfId="69" applyNumberFormat="1" applyFont="1" applyBorder="1" applyAlignment="1" applyProtection="1">
      <alignment horizontal="right"/>
      <protection locked="0"/>
    </xf>
    <xf numFmtId="49" fontId="68" fillId="0" borderId="125" xfId="71" applyNumberFormat="1" applyFont="1" applyBorder="1" applyAlignment="1" applyProtection="1">
      <alignment horizontal="left" wrapText="1"/>
      <protection locked="0"/>
    </xf>
    <xf numFmtId="1" fontId="74" fillId="0" borderId="125" xfId="71" applyNumberFormat="1" applyFont="1" applyBorder="1" applyAlignment="1" applyProtection="1">
      <alignment horizontal="right"/>
      <protection locked="0"/>
    </xf>
    <xf numFmtId="4" fontId="30" fillId="5" borderId="125" xfId="71" applyNumberFormat="1" applyFont="1" applyFill="1" applyBorder="1" applyAlignment="1" applyProtection="1">
      <alignment horizontal="right"/>
      <protection locked="0"/>
    </xf>
    <xf numFmtId="167" fontId="10" fillId="0" borderId="125" xfId="71" applyNumberFormat="1" applyFont="1" applyBorder="1" applyAlignment="1" applyProtection="1">
      <alignment horizontal="left" wrapText="1"/>
      <protection locked="0"/>
    </xf>
    <xf numFmtId="4" fontId="10" fillId="7" borderId="125" xfId="71" applyNumberFormat="1" applyFont="1" applyFill="1" applyBorder="1" applyAlignment="1" applyProtection="1">
      <alignment horizontal="right"/>
      <protection locked="0"/>
    </xf>
    <xf numFmtId="37" fontId="10" fillId="0" borderId="125" xfId="34" applyNumberFormat="1" applyFont="1" applyBorder="1" applyAlignment="1" applyProtection="1">
      <alignment horizontal="right"/>
      <protection locked="0"/>
    </xf>
    <xf numFmtId="49" fontId="10" fillId="0" borderId="125" xfId="34" applyNumberFormat="1" applyFont="1" applyBorder="1" applyAlignment="1" applyProtection="1">
      <alignment horizontal="left" wrapText="1"/>
      <protection locked="0"/>
    </xf>
    <xf numFmtId="0" fontId="39" fillId="0" borderId="125" xfId="34" applyFont="1" applyBorder="1" applyAlignment="1" applyProtection="1">
      <alignment horizontal="left" wrapText="1"/>
      <protection locked="0"/>
    </xf>
    <xf numFmtId="39" fontId="10" fillId="0" borderId="125" xfId="34" applyNumberFormat="1" applyFont="1" applyBorder="1" applyAlignment="1" applyProtection="1">
      <alignment horizontal="right"/>
      <protection locked="0"/>
    </xf>
    <xf numFmtId="0" fontId="30" fillId="0" borderId="125" xfId="34" applyFont="1" applyBorder="1" applyAlignment="1" applyProtection="1">
      <alignment horizontal="left" wrapText="1"/>
      <protection locked="0"/>
    </xf>
    <xf numFmtId="0" fontId="39" fillId="0" borderId="125" xfId="25" applyFont="1" applyBorder="1" applyAlignment="1" applyProtection="1">
      <alignment horizontal="left" wrapText="1"/>
      <protection locked="0"/>
    </xf>
    <xf numFmtId="167" fontId="39" fillId="0" borderId="125" xfId="25" applyNumberFormat="1" applyFont="1" applyBorder="1" applyAlignment="1" applyProtection="1">
      <alignment horizontal="right"/>
      <protection locked="0"/>
    </xf>
    <xf numFmtId="39" fontId="10" fillId="0" borderId="125" xfId="25" applyNumberFormat="1" applyFont="1" applyBorder="1" applyAlignment="1" applyProtection="1">
      <alignment horizontal="center"/>
      <protection locked="0"/>
    </xf>
    <xf numFmtId="0" fontId="13" fillId="0" borderId="125" xfId="71" applyFont="1" applyBorder="1" applyAlignment="1" applyProtection="1">
      <alignment horizontal="left" vertical="top"/>
      <protection locked="0"/>
    </xf>
    <xf numFmtId="39" fontId="10" fillId="0" borderId="125" xfId="63" applyNumberFormat="1" applyFont="1" applyBorder="1" applyAlignment="1" applyProtection="1">
      <alignment horizontal="center"/>
      <protection locked="0"/>
    </xf>
    <xf numFmtId="0" fontId="14" fillId="0" borderId="0" xfId="59"/>
    <xf numFmtId="0" fontId="19" fillId="12" borderId="12" xfId="8" applyFont="1" applyFill="1" applyBorder="1" applyAlignment="1">
      <alignment horizontal="center" vertical="center" wrapText="1"/>
    </xf>
    <xf numFmtId="0" fontId="19" fillId="13" borderId="12" xfId="8" applyFont="1" applyFill="1" applyBorder="1" applyAlignment="1">
      <alignment horizontal="center" vertical="center" wrapText="1"/>
    </xf>
    <xf numFmtId="0" fontId="19" fillId="12" borderId="4" xfId="8" applyFont="1" applyFill="1" applyBorder="1" applyAlignment="1">
      <alignment vertical="center"/>
    </xf>
    <xf numFmtId="0" fontId="19" fillId="12" borderId="0" xfId="8" applyFont="1" applyFill="1" applyAlignment="1">
      <alignment vertical="center"/>
    </xf>
    <xf numFmtId="0" fontId="19" fillId="13" borderId="4" xfId="8" applyFont="1" applyFill="1" applyBorder="1" applyAlignment="1">
      <alignment vertical="center"/>
    </xf>
    <xf numFmtId="0" fontId="19" fillId="13" borderId="0" xfId="8" applyFont="1" applyFill="1" applyAlignment="1">
      <alignment vertical="center"/>
    </xf>
    <xf numFmtId="1" fontId="19" fillId="12" borderId="0" xfId="8" applyNumberFormat="1" applyFont="1" applyFill="1" applyAlignment="1">
      <alignment horizontal="right" vertical="center"/>
    </xf>
    <xf numFmtId="0" fontId="19" fillId="12" borderId="5" xfId="8" applyFont="1" applyFill="1" applyBorder="1" applyAlignment="1">
      <alignment vertical="center"/>
    </xf>
    <xf numFmtId="1" fontId="19" fillId="13" borderId="0" xfId="8" applyNumberFormat="1" applyFont="1" applyFill="1" applyAlignment="1">
      <alignment horizontal="right" vertical="center"/>
    </xf>
    <xf numFmtId="0" fontId="19" fillId="13" borderId="5" xfId="8" applyFont="1" applyFill="1" applyBorder="1" applyAlignment="1">
      <alignment vertical="center"/>
    </xf>
    <xf numFmtId="4" fontId="14" fillId="12" borderId="6" xfId="8" applyNumberFormat="1" applyFont="1" applyFill="1" applyBorder="1" applyAlignment="1">
      <alignment horizontal="right" vertical="center"/>
    </xf>
    <xf numFmtId="4" fontId="14" fillId="12" borderId="7" xfId="8" applyNumberFormat="1" applyFont="1" applyFill="1" applyBorder="1" applyAlignment="1">
      <alignment horizontal="right" vertical="center"/>
    </xf>
    <xf numFmtId="4" fontId="19" fillId="12" borderId="8" xfId="8" applyNumberFormat="1" applyFont="1" applyFill="1" applyBorder="1" applyAlignment="1">
      <alignment horizontal="right" vertical="center"/>
    </xf>
    <xf numFmtId="4" fontId="19" fillId="13" borderId="5" xfId="8" applyNumberFormat="1" applyFont="1" applyFill="1" applyBorder="1" applyAlignment="1">
      <alignment horizontal="right" vertical="center"/>
    </xf>
    <xf numFmtId="0" fontId="47" fillId="12" borderId="31" xfId="49" applyFont="1" applyFill="1" applyBorder="1" applyAlignment="1">
      <alignment horizontal="center" vertical="center" wrapText="1"/>
    </xf>
    <xf numFmtId="0" fontId="47" fillId="13" borderId="31" xfId="49" applyFont="1" applyFill="1" applyBorder="1" applyAlignment="1">
      <alignment horizontal="center" vertical="center" wrapText="1"/>
    </xf>
    <xf numFmtId="4" fontId="39" fillId="12" borderId="0" xfId="25" applyNumberFormat="1" applyFont="1" applyFill="1" applyAlignment="1">
      <alignment horizontal="right"/>
    </xf>
    <xf numFmtId="39" fontId="39" fillId="12" borderId="30" xfId="25" applyNumberFormat="1" applyFont="1" applyFill="1" applyBorder="1" applyAlignment="1" applyProtection="1">
      <alignment horizontal="right"/>
      <protection locked="0"/>
    </xf>
    <xf numFmtId="4" fontId="10" fillId="12" borderId="30" xfId="31" applyNumberFormat="1" applyFont="1" applyFill="1" applyBorder="1" applyAlignment="1" applyProtection="1">
      <alignment horizontal="right"/>
      <protection locked="0"/>
    </xf>
    <xf numFmtId="39" fontId="10" fillId="12" borderId="30" xfId="25" applyNumberFormat="1" applyFont="1" applyFill="1" applyBorder="1" applyAlignment="1" applyProtection="1">
      <alignment horizontal="right"/>
      <protection locked="0"/>
    </xf>
    <xf numFmtId="39" fontId="30" fillId="12" borderId="30" xfId="3" applyNumberFormat="1" applyFont="1" applyFill="1" applyBorder="1" applyAlignment="1" applyProtection="1">
      <alignment horizontal="right"/>
      <protection locked="0"/>
    </xf>
    <xf numFmtId="4" fontId="10" fillId="12" borderId="30" xfId="32" applyNumberFormat="1" applyFont="1" applyFill="1" applyBorder="1" applyAlignment="1" applyProtection="1">
      <alignment horizontal="right"/>
      <protection locked="0"/>
    </xf>
    <xf numFmtId="4" fontId="56" fillId="12" borderId="30" xfId="31" applyNumberFormat="1" applyFont="1" applyFill="1" applyBorder="1" applyAlignment="1" applyProtection="1">
      <alignment horizontal="right"/>
      <protection locked="0"/>
    </xf>
    <xf numFmtId="4" fontId="56" fillId="12" borderId="30" xfId="32" applyNumberFormat="1" applyFont="1" applyFill="1" applyBorder="1" applyAlignment="1" applyProtection="1">
      <alignment horizontal="right"/>
      <protection locked="0"/>
    </xf>
    <xf numFmtId="39" fontId="59" fillId="12" borderId="30" xfId="3" applyNumberFormat="1" applyFont="1" applyFill="1" applyBorder="1" applyAlignment="1" applyProtection="1">
      <alignment horizontal="right"/>
      <protection locked="0"/>
    </xf>
    <xf numFmtId="4" fontId="10" fillId="12" borderId="30" xfId="25" applyNumberFormat="1" applyFont="1" applyFill="1" applyBorder="1" applyAlignment="1" applyProtection="1">
      <alignment horizontal="right"/>
      <protection locked="0"/>
    </xf>
    <xf numFmtId="4" fontId="10" fillId="12" borderId="30" xfId="69" applyNumberFormat="1" applyFont="1" applyFill="1" applyBorder="1" applyAlignment="1" applyProtection="1">
      <alignment horizontal="right"/>
      <protection locked="0"/>
    </xf>
    <xf numFmtId="4" fontId="10" fillId="12" borderId="30" xfId="28" applyNumberFormat="1" applyFont="1" applyFill="1" applyBorder="1" applyAlignment="1">
      <alignment horizontal="right"/>
      <protection locked="0"/>
    </xf>
    <xf numFmtId="4" fontId="30" fillId="12" borderId="30" xfId="71" applyNumberFormat="1" applyFont="1" applyFill="1" applyBorder="1" applyAlignment="1" applyProtection="1">
      <alignment horizontal="right"/>
      <protection locked="0"/>
    </xf>
    <xf numFmtId="4" fontId="30" fillId="12" borderId="30" xfId="25" applyNumberFormat="1" applyFont="1" applyFill="1" applyBorder="1" applyAlignment="1" applyProtection="1">
      <alignment horizontal="right"/>
      <protection locked="0"/>
    </xf>
    <xf numFmtId="4" fontId="10" fillId="12" borderId="30" xfId="26" applyNumberFormat="1" applyFont="1" applyFill="1" applyBorder="1" applyAlignment="1" applyProtection="1">
      <alignment horizontal="right"/>
      <protection locked="0"/>
    </xf>
    <xf numFmtId="39" fontId="10" fillId="12" borderId="30" xfId="34" applyNumberFormat="1" applyFont="1" applyFill="1" applyBorder="1" applyAlignment="1" applyProtection="1">
      <alignment horizontal="right"/>
      <protection locked="0"/>
    </xf>
    <xf numFmtId="4" fontId="30" fillId="12" borderId="30" xfId="39" applyNumberFormat="1" applyFont="1" applyFill="1" applyBorder="1" applyAlignment="1">
      <alignment horizontal="right"/>
      <protection locked="0"/>
    </xf>
    <xf numFmtId="4" fontId="10" fillId="12" borderId="30" xfId="34" applyNumberFormat="1" applyFont="1" applyFill="1" applyBorder="1" applyAlignment="1" applyProtection="1">
      <alignment horizontal="right"/>
      <protection locked="0"/>
    </xf>
    <xf numFmtId="39" fontId="50" fillId="12" borderId="30" xfId="3" applyNumberFormat="1" applyFont="1" applyFill="1" applyBorder="1" applyAlignment="1" applyProtection="1">
      <alignment horizontal="right"/>
      <protection locked="0"/>
    </xf>
    <xf numFmtId="39" fontId="39" fillId="12" borderId="30" xfId="25" applyNumberFormat="1" applyFont="1" applyFill="1" applyBorder="1" applyAlignment="1">
      <alignment horizontal="right"/>
    </xf>
    <xf numFmtId="39" fontId="30" fillId="12" borderId="30" xfId="25" applyNumberFormat="1" applyFont="1" applyFill="1" applyBorder="1" applyAlignment="1" applyProtection="1">
      <alignment horizontal="right"/>
      <protection locked="0"/>
    </xf>
    <xf numFmtId="171" fontId="10" fillId="12" borderId="30" xfId="25" applyNumberFormat="1" applyFont="1" applyFill="1" applyBorder="1" applyAlignment="1" applyProtection="1">
      <alignment horizontal="right"/>
      <protection locked="0"/>
    </xf>
    <xf numFmtId="4" fontId="59" fillId="12" borderId="30" xfId="71" applyNumberFormat="1" applyFont="1" applyFill="1" applyBorder="1" applyAlignment="1" applyProtection="1">
      <alignment horizontal="right"/>
      <protection locked="0"/>
    </xf>
    <xf numFmtId="39" fontId="98" fillId="12" borderId="30" xfId="25" applyNumberFormat="1" applyFont="1" applyFill="1" applyBorder="1" applyAlignment="1" applyProtection="1">
      <alignment horizontal="right"/>
      <protection locked="0"/>
    </xf>
    <xf numFmtId="4" fontId="30" fillId="12" borderId="30" xfId="8" applyNumberFormat="1" applyFont="1" applyFill="1" applyBorder="1" applyAlignment="1" applyProtection="1">
      <alignment horizontal="right"/>
      <protection locked="0"/>
    </xf>
    <xf numFmtId="4" fontId="30" fillId="12" borderId="30" xfId="37" applyNumberFormat="1" applyFont="1" applyFill="1" applyBorder="1" applyAlignment="1">
      <alignment horizontal="right"/>
    </xf>
    <xf numFmtId="39" fontId="10" fillId="12" borderId="30" xfId="60" applyNumberFormat="1" applyFont="1" applyFill="1" applyBorder="1" applyAlignment="1">
      <alignment horizontal="right"/>
      <protection locked="0"/>
    </xf>
    <xf numFmtId="39" fontId="30" fillId="12" borderId="30" xfId="37" applyNumberFormat="1" applyFont="1" applyFill="1" applyBorder="1" applyAlignment="1">
      <alignment horizontal="right"/>
    </xf>
    <xf numFmtId="4" fontId="10" fillId="12" borderId="15" xfId="71" applyNumberFormat="1" applyFont="1" applyFill="1" applyBorder="1" applyAlignment="1" applyProtection="1">
      <alignment horizontal="right"/>
      <protection locked="0"/>
    </xf>
    <xf numFmtId="4" fontId="10" fillId="12" borderId="125" xfId="71" applyNumberFormat="1" applyFont="1" applyFill="1" applyBorder="1" applyAlignment="1" applyProtection="1">
      <alignment horizontal="right"/>
      <protection locked="0"/>
    </xf>
    <xf numFmtId="4" fontId="30" fillId="12" borderId="30" xfId="37" applyNumberFormat="1" applyFont="1" applyFill="1" applyBorder="1" applyAlignment="1" applyProtection="1">
      <alignment horizontal="right"/>
      <protection locked="0"/>
    </xf>
    <xf numFmtId="39" fontId="10" fillId="12" borderId="30" xfId="37" applyNumberFormat="1" applyFont="1" applyFill="1" applyBorder="1" applyAlignment="1">
      <alignment horizontal="right"/>
    </xf>
    <xf numFmtId="4" fontId="39" fillId="13" borderId="0" xfId="25" applyNumberFormat="1" applyFont="1" applyFill="1" applyAlignment="1">
      <alignment horizontal="right"/>
    </xf>
    <xf numFmtId="39" fontId="39" fillId="13" borderId="30" xfId="25" applyNumberFormat="1" applyFont="1" applyFill="1" applyBorder="1" applyAlignment="1" applyProtection="1">
      <alignment horizontal="right"/>
      <protection locked="0"/>
    </xf>
    <xf numFmtId="4" fontId="10" fillId="13" borderId="30" xfId="31" applyNumberFormat="1" applyFont="1" applyFill="1" applyBorder="1" applyAlignment="1" applyProtection="1">
      <alignment horizontal="right"/>
      <protection locked="0"/>
    </xf>
    <xf numFmtId="39" fontId="10" fillId="13" borderId="30" xfId="25" applyNumberFormat="1" applyFont="1" applyFill="1" applyBorder="1" applyAlignment="1" applyProtection="1">
      <alignment horizontal="right"/>
      <protection locked="0"/>
    </xf>
    <xf numFmtId="39" fontId="30" fillId="13" borderId="30" xfId="3" applyNumberFormat="1" applyFont="1" applyFill="1" applyBorder="1" applyAlignment="1" applyProtection="1">
      <alignment horizontal="right"/>
      <protection locked="0"/>
    </xf>
    <xf numFmtId="4" fontId="10" fillId="13" borderId="30" xfId="32" applyNumberFormat="1" applyFont="1" applyFill="1" applyBorder="1" applyAlignment="1" applyProtection="1">
      <alignment horizontal="right"/>
      <protection locked="0"/>
    </xf>
    <xf numFmtId="4" fontId="56" fillId="13" borderId="30" xfId="31" applyNumberFormat="1" applyFont="1" applyFill="1" applyBorder="1" applyAlignment="1" applyProtection="1">
      <alignment horizontal="right"/>
      <protection locked="0"/>
    </xf>
    <xf numFmtId="4" fontId="56" fillId="13" borderId="30" xfId="32" applyNumberFormat="1" applyFont="1" applyFill="1" applyBorder="1" applyAlignment="1" applyProtection="1">
      <alignment horizontal="right"/>
      <protection locked="0"/>
    </xf>
    <xf numFmtId="39" fontId="59" fillId="13" borderId="30" xfId="3" applyNumberFormat="1" applyFont="1" applyFill="1" applyBorder="1" applyAlignment="1" applyProtection="1">
      <alignment horizontal="right"/>
      <protection locked="0"/>
    </xf>
    <xf numFmtId="4" fontId="10" fillId="13" borderId="30" xfId="25" applyNumberFormat="1" applyFont="1" applyFill="1" applyBorder="1" applyAlignment="1" applyProtection="1">
      <alignment horizontal="right"/>
      <protection locked="0"/>
    </xf>
    <xf numFmtId="4" fontId="10" fillId="13" borderId="30" xfId="69" applyNumberFormat="1" applyFont="1" applyFill="1" applyBorder="1" applyAlignment="1" applyProtection="1">
      <alignment horizontal="right"/>
      <protection locked="0"/>
    </xf>
    <xf numFmtId="4" fontId="10" fillId="13" borderId="30" xfId="28" applyNumberFormat="1" applyFont="1" applyFill="1" applyBorder="1" applyAlignment="1">
      <alignment horizontal="right"/>
      <protection locked="0"/>
    </xf>
    <xf numFmtId="4" fontId="30" fillId="13" borderId="30" xfId="71" applyNumberFormat="1" applyFont="1" applyFill="1" applyBorder="1" applyAlignment="1" applyProtection="1">
      <alignment horizontal="right"/>
      <protection locked="0"/>
    </xf>
    <xf numFmtId="4" fontId="30" fillId="13" borderId="30" xfId="25" applyNumberFormat="1" applyFont="1" applyFill="1" applyBorder="1" applyAlignment="1" applyProtection="1">
      <alignment horizontal="right"/>
      <protection locked="0"/>
    </xf>
    <xf numFmtId="4" fontId="10" fillId="13" borderId="30" xfId="26" applyNumberFormat="1" applyFont="1" applyFill="1" applyBorder="1" applyAlignment="1" applyProtection="1">
      <alignment horizontal="right"/>
      <protection locked="0"/>
    </xf>
    <xf numFmtId="39" fontId="10" fillId="13" borderId="30" xfId="34" applyNumberFormat="1" applyFont="1" applyFill="1" applyBorder="1" applyAlignment="1" applyProtection="1">
      <alignment horizontal="right"/>
      <protection locked="0"/>
    </xf>
    <xf numFmtId="4" fontId="30" fillId="13" borderId="30" xfId="39" applyNumberFormat="1" applyFont="1" applyFill="1" applyBorder="1" applyAlignment="1">
      <alignment horizontal="right"/>
      <protection locked="0"/>
    </xf>
    <xf numFmtId="4" fontId="10" fillId="13" borderId="30" xfId="34" applyNumberFormat="1" applyFont="1" applyFill="1" applyBorder="1" applyAlignment="1" applyProtection="1">
      <alignment horizontal="right"/>
      <protection locked="0"/>
    </xf>
    <xf numFmtId="39" fontId="50" fillId="13" borderId="30" xfId="3" applyNumberFormat="1" applyFont="1" applyFill="1" applyBorder="1" applyAlignment="1" applyProtection="1">
      <alignment horizontal="right"/>
      <protection locked="0"/>
    </xf>
    <xf numFmtId="39" fontId="39" fillId="13" borderId="30" xfId="25" applyNumberFormat="1" applyFont="1" applyFill="1" applyBorder="1" applyAlignment="1">
      <alignment horizontal="right"/>
    </xf>
    <xf numFmtId="39" fontId="30" fillId="13" borderId="30" xfId="25" applyNumberFormat="1" applyFont="1" applyFill="1" applyBorder="1" applyAlignment="1" applyProtection="1">
      <alignment horizontal="right"/>
      <protection locked="0"/>
    </xf>
    <xf numFmtId="171" fontId="10" fillId="13" borderId="30" xfId="25" applyNumberFormat="1" applyFont="1" applyFill="1" applyBorder="1" applyAlignment="1" applyProtection="1">
      <alignment horizontal="right"/>
      <protection locked="0"/>
    </xf>
    <xf numFmtId="4" fontId="59" fillId="13" borderId="30" xfId="71" applyNumberFormat="1" applyFont="1" applyFill="1" applyBorder="1" applyAlignment="1" applyProtection="1">
      <alignment horizontal="right"/>
      <protection locked="0"/>
    </xf>
    <xf numFmtId="39" fontId="98" fillId="13" borderId="30" xfId="25" applyNumberFormat="1" applyFont="1" applyFill="1" applyBorder="1" applyAlignment="1" applyProtection="1">
      <alignment horizontal="right"/>
      <protection locked="0"/>
    </xf>
    <xf numFmtId="4" fontId="30" fillId="13" borderId="30" xfId="8" applyNumberFormat="1" applyFont="1" applyFill="1" applyBorder="1" applyAlignment="1" applyProtection="1">
      <alignment horizontal="right"/>
      <protection locked="0"/>
    </xf>
    <xf numFmtId="4" fontId="30" fillId="13" borderId="30" xfId="37" applyNumberFormat="1" applyFont="1" applyFill="1" applyBorder="1" applyAlignment="1">
      <alignment horizontal="right"/>
    </xf>
    <xf numFmtId="39" fontId="10" fillId="13" borderId="30" xfId="60" applyNumberFormat="1" applyFont="1" applyFill="1" applyBorder="1" applyAlignment="1">
      <alignment horizontal="right"/>
      <protection locked="0"/>
    </xf>
    <xf numFmtId="39" fontId="30" fillId="13" borderId="30" xfId="37" applyNumberFormat="1" applyFont="1" applyFill="1" applyBorder="1" applyAlignment="1">
      <alignment horizontal="right"/>
    </xf>
    <xf numFmtId="39" fontId="10" fillId="13" borderId="30" xfId="40" applyNumberFormat="1" applyFont="1" applyFill="1" applyBorder="1" applyAlignment="1">
      <alignment horizontal="right"/>
      <protection locked="0"/>
    </xf>
    <xf numFmtId="4" fontId="10" fillId="13" borderId="15" xfId="71" applyNumberFormat="1" applyFont="1" applyFill="1" applyBorder="1" applyAlignment="1" applyProtection="1">
      <alignment horizontal="right"/>
      <protection locked="0"/>
    </xf>
    <xf numFmtId="4" fontId="10" fillId="13" borderId="125" xfId="71" applyNumberFormat="1" applyFont="1" applyFill="1" applyBorder="1" applyAlignment="1" applyProtection="1">
      <alignment horizontal="right"/>
      <protection locked="0"/>
    </xf>
    <xf numFmtId="4" fontId="30" fillId="13" borderId="30" xfId="37" applyNumberFormat="1" applyFont="1" applyFill="1" applyBorder="1" applyAlignment="1" applyProtection="1">
      <alignment horizontal="right"/>
      <protection locked="0"/>
    </xf>
    <xf numFmtId="39" fontId="10" fillId="13" borderId="30" xfId="37" applyNumberFormat="1" applyFont="1" applyFill="1" applyBorder="1" applyAlignment="1">
      <alignment horizontal="right"/>
    </xf>
    <xf numFmtId="39" fontId="39" fillId="12" borderId="31" xfId="49" applyNumberFormat="1" applyFont="1" applyFill="1" applyBorder="1" applyAlignment="1" applyProtection="1">
      <alignment horizontal="right"/>
      <protection locked="0"/>
    </xf>
    <xf numFmtId="39" fontId="39" fillId="0" borderId="31" xfId="49" applyNumberFormat="1" applyFont="1" applyBorder="1" applyAlignment="1" applyProtection="1">
      <alignment horizontal="right"/>
      <protection locked="0"/>
    </xf>
    <xf numFmtId="39" fontId="39" fillId="13" borderId="31" xfId="49" applyNumberFormat="1" applyFont="1" applyFill="1" applyBorder="1" applyAlignment="1" applyProtection="1">
      <alignment horizontal="right"/>
      <protection locked="0"/>
    </xf>
    <xf numFmtId="0" fontId="47" fillId="0" borderId="31" xfId="49" applyFont="1" applyBorder="1" applyAlignment="1">
      <alignment horizontal="center" vertical="center" wrapText="1"/>
    </xf>
    <xf numFmtId="0" fontId="311" fillId="0" borderId="0" xfId="76" applyFont="1" applyFill="1" applyAlignment="1" applyProtection="1"/>
    <xf numFmtId="0" fontId="40" fillId="0" borderId="0" xfId="49"/>
    <xf numFmtId="0" fontId="47" fillId="12" borderId="32" xfId="71" applyFont="1" applyFill="1" applyBorder="1" applyAlignment="1">
      <alignment horizontal="center" vertical="center" wrapText="1"/>
    </xf>
    <xf numFmtId="4" fontId="39" fillId="12" borderId="0" xfId="71" applyNumberFormat="1" applyFont="1" applyFill="1" applyAlignment="1">
      <alignment horizontal="right"/>
    </xf>
    <xf numFmtId="39" fontId="39" fillId="12" borderId="30" xfId="71" applyNumberFormat="1" applyFont="1" applyFill="1" applyBorder="1" applyAlignment="1" applyProtection="1">
      <alignment horizontal="right"/>
      <protection locked="0"/>
    </xf>
    <xf numFmtId="4" fontId="10" fillId="12" borderId="125" xfId="31" applyNumberFormat="1" applyFont="1" applyFill="1" applyBorder="1" applyAlignment="1" applyProtection="1">
      <alignment horizontal="right"/>
      <protection locked="0"/>
    </xf>
    <xf numFmtId="39" fontId="10" fillId="12" borderId="125" xfId="71" applyNumberFormat="1" applyFont="1" applyFill="1" applyBorder="1" applyAlignment="1" applyProtection="1">
      <alignment horizontal="right"/>
      <protection locked="0"/>
    </xf>
    <xf numFmtId="39" fontId="30" fillId="12" borderId="125" xfId="3" applyNumberFormat="1" applyFont="1" applyFill="1" applyBorder="1" applyAlignment="1" applyProtection="1">
      <alignment horizontal="right"/>
      <protection locked="0"/>
    </xf>
    <xf numFmtId="4" fontId="10" fillId="12" borderId="125" xfId="32" applyNumberFormat="1" applyFont="1" applyFill="1" applyBorder="1" applyAlignment="1" applyProtection="1">
      <alignment horizontal="right"/>
      <protection locked="0"/>
    </xf>
    <xf numFmtId="39" fontId="10" fillId="12" borderId="125" xfId="3" applyNumberFormat="1" applyFont="1" applyFill="1" applyBorder="1" applyAlignment="1" applyProtection="1">
      <alignment horizontal="right"/>
      <protection locked="0"/>
    </xf>
    <xf numFmtId="4" fontId="56" fillId="12" borderId="125" xfId="31" applyNumberFormat="1" applyFont="1" applyFill="1" applyBorder="1" applyAlignment="1" applyProtection="1">
      <alignment horizontal="right"/>
      <protection locked="0"/>
    </xf>
    <xf numFmtId="39" fontId="56" fillId="12" borderId="125" xfId="3" applyNumberFormat="1" applyFont="1" applyFill="1" applyBorder="1" applyAlignment="1" applyProtection="1">
      <alignment horizontal="right"/>
      <protection locked="0"/>
    </xf>
    <xf numFmtId="39" fontId="59" fillId="12" borderId="125" xfId="3" applyNumberFormat="1" applyFont="1" applyFill="1" applyBorder="1" applyAlignment="1" applyProtection="1">
      <alignment horizontal="right"/>
      <protection locked="0"/>
    </xf>
    <xf numFmtId="4" fontId="10" fillId="12" borderId="125" xfId="69" applyNumberFormat="1" applyFont="1" applyFill="1" applyBorder="1" applyAlignment="1" applyProtection="1">
      <alignment horizontal="right"/>
      <protection locked="0"/>
    </xf>
    <xf numFmtId="4" fontId="30" fillId="12" borderId="125" xfId="71" applyNumberFormat="1" applyFont="1" applyFill="1" applyBorder="1" applyAlignment="1" applyProtection="1">
      <alignment horizontal="right"/>
      <protection locked="0"/>
    </xf>
    <xf numFmtId="4" fontId="10" fillId="12" borderId="125" xfId="26" applyNumberFormat="1" applyFont="1" applyFill="1" applyBorder="1" applyAlignment="1" applyProtection="1">
      <alignment horizontal="right"/>
      <protection locked="0"/>
    </xf>
    <xf numFmtId="39" fontId="10" fillId="12" borderId="125" xfId="34" applyNumberFormat="1" applyFont="1" applyFill="1" applyBorder="1" applyAlignment="1" applyProtection="1">
      <alignment horizontal="right"/>
      <protection locked="0"/>
    </xf>
    <xf numFmtId="4" fontId="30" fillId="12" borderId="125" xfId="39" applyNumberFormat="1" applyFont="1" applyFill="1" applyBorder="1" applyAlignment="1">
      <alignment horizontal="right"/>
      <protection locked="0"/>
    </xf>
    <xf numFmtId="4" fontId="10" fillId="12" borderId="125" xfId="34" applyNumberFormat="1" applyFont="1" applyFill="1" applyBorder="1" applyAlignment="1" applyProtection="1">
      <alignment horizontal="right"/>
      <protection locked="0"/>
    </xf>
    <xf numFmtId="39" fontId="39" fillId="12" borderId="125" xfId="25" applyNumberFormat="1" applyFont="1" applyFill="1" applyBorder="1" applyAlignment="1" applyProtection="1">
      <alignment horizontal="right"/>
      <protection locked="0"/>
    </xf>
    <xf numFmtId="39" fontId="39" fillId="12" borderId="125" xfId="71" applyNumberFormat="1" applyFont="1" applyFill="1" applyBorder="1" applyAlignment="1" applyProtection="1">
      <alignment horizontal="right"/>
      <protection locked="0"/>
    </xf>
    <xf numFmtId="39" fontId="50" fillId="12" borderId="125" xfId="3" applyNumberFormat="1" applyFont="1" applyFill="1" applyBorder="1" applyAlignment="1" applyProtection="1">
      <alignment horizontal="right"/>
      <protection locked="0"/>
    </xf>
    <xf numFmtId="39" fontId="39" fillId="12" borderId="125" xfId="71" applyNumberFormat="1" applyFont="1" applyFill="1" applyBorder="1" applyAlignment="1">
      <alignment horizontal="right"/>
    </xf>
    <xf numFmtId="39" fontId="39" fillId="12" borderId="125" xfId="49" applyNumberFormat="1" applyFont="1" applyFill="1" applyBorder="1" applyAlignment="1" applyProtection="1">
      <alignment horizontal="right"/>
      <protection locked="0"/>
    </xf>
    <xf numFmtId="4" fontId="111" fillId="12" borderId="125" xfId="32" applyNumberFormat="1" applyFont="1" applyFill="1" applyBorder="1" applyAlignment="1" applyProtection="1">
      <alignment horizontal="right" vertical="center"/>
      <protection locked="0"/>
    </xf>
    <xf numFmtId="39" fontId="10" fillId="12" borderId="125" xfId="59" applyNumberFormat="1" applyFont="1" applyFill="1" applyBorder="1" applyAlignment="1" applyProtection="1">
      <alignment horizontal="right"/>
      <protection locked="0"/>
    </xf>
    <xf numFmtId="0" fontId="9" fillId="12" borderId="125" xfId="71" applyFill="1" applyBorder="1" applyAlignment="1" applyProtection="1">
      <alignment horizontal="left" vertical="top"/>
      <protection locked="0"/>
    </xf>
    <xf numFmtId="4" fontId="39" fillId="12" borderId="125" xfId="71" applyNumberFormat="1" applyFont="1" applyFill="1" applyBorder="1" applyAlignment="1" applyProtection="1">
      <alignment horizontal="right"/>
      <protection locked="0"/>
    </xf>
    <xf numFmtId="39" fontId="10" fillId="12" borderId="125" xfId="63" applyNumberFormat="1" applyFont="1" applyFill="1" applyBorder="1" applyAlignment="1" applyProtection="1">
      <alignment horizontal="right"/>
      <protection locked="0"/>
    </xf>
    <xf numFmtId="39" fontId="10" fillId="12" borderId="30" xfId="63" applyNumberFormat="1" applyFont="1" applyFill="1" applyBorder="1" applyAlignment="1" applyProtection="1">
      <alignment horizontal="right"/>
      <protection locked="0"/>
    </xf>
    <xf numFmtId="4" fontId="10" fillId="12" borderId="30" xfId="71" applyNumberFormat="1" applyFont="1" applyFill="1" applyBorder="1" applyAlignment="1" applyProtection="1">
      <alignment horizontal="right"/>
      <protection locked="0"/>
    </xf>
    <xf numFmtId="4" fontId="39" fillId="12" borderId="30" xfId="71" applyNumberFormat="1" applyFont="1" applyFill="1" applyBorder="1" applyAlignment="1" applyProtection="1">
      <alignment horizontal="right"/>
      <protection locked="0"/>
    </xf>
    <xf numFmtId="39" fontId="56" fillId="12" borderId="30" xfId="3" applyNumberFormat="1" applyFont="1" applyFill="1" applyBorder="1" applyAlignment="1" applyProtection="1">
      <alignment horizontal="right"/>
      <protection locked="0"/>
    </xf>
    <xf numFmtId="4" fontId="50" fillId="12" borderId="30" xfId="71" applyNumberFormat="1" applyFont="1" applyFill="1" applyBorder="1" applyAlignment="1" applyProtection="1">
      <alignment horizontal="right"/>
      <protection locked="0"/>
    </xf>
    <xf numFmtId="39" fontId="39" fillId="12" borderId="31" xfId="71" applyNumberFormat="1" applyFont="1" applyFill="1" applyBorder="1" applyAlignment="1">
      <alignment horizontal="right"/>
    </xf>
    <xf numFmtId="165" fontId="17" fillId="12" borderId="12" xfId="22" applyNumberFormat="1" applyFont="1" applyFill="1" applyBorder="1" applyAlignment="1">
      <alignment horizontal="center" vertical="center"/>
    </xf>
    <xf numFmtId="4" fontId="39" fillId="12" borderId="31" xfId="0" applyNumberFormat="1" applyFont="1" applyFill="1" applyBorder="1" applyAlignment="1">
      <alignment horizontal="right"/>
      <protection locked="0"/>
    </xf>
    <xf numFmtId="0" fontId="47" fillId="12" borderId="31" xfId="0" applyFont="1" applyFill="1" applyBorder="1" applyAlignment="1" applyProtection="1">
      <alignment horizontal="center" vertical="center" wrapText="1"/>
    </xf>
    <xf numFmtId="4" fontId="39" fillId="12" borderId="29" xfId="0" applyNumberFormat="1" applyFont="1" applyFill="1" applyBorder="1" applyAlignment="1">
      <alignment horizontal="right"/>
      <protection locked="0"/>
    </xf>
    <xf numFmtId="4" fontId="39" fillId="12" borderId="129" xfId="0" applyNumberFormat="1" applyFont="1" applyFill="1" applyBorder="1" applyAlignment="1">
      <alignment horizontal="right"/>
      <protection locked="0"/>
    </xf>
    <xf numFmtId="4" fontId="11" fillId="12" borderId="129" xfId="0" applyNumberFormat="1" applyFont="1" applyFill="1" applyBorder="1" applyAlignment="1" applyProtection="1"/>
    <xf numFmtId="39" fontId="10" fillId="12" borderId="129" xfId="0" applyNumberFormat="1" applyFont="1" applyFill="1" applyBorder="1" applyAlignment="1">
      <alignment horizontal="right"/>
      <protection locked="0"/>
    </xf>
    <xf numFmtId="4" fontId="27" fillId="12" borderId="129" xfId="0" applyNumberFormat="1" applyFont="1" applyFill="1" applyBorder="1" applyAlignment="1" applyProtection="1"/>
    <xf numFmtId="4" fontId="10" fillId="12" borderId="129" xfId="99" applyNumberFormat="1" applyFont="1" applyFill="1" applyBorder="1" applyAlignment="1" applyProtection="1">
      <alignment horizontal="right"/>
      <protection locked="0"/>
    </xf>
    <xf numFmtId="4" fontId="39" fillId="12" borderId="125" xfId="99" applyNumberFormat="1" applyFont="1" applyFill="1" applyBorder="1" applyAlignment="1" applyProtection="1">
      <alignment horizontal="right"/>
      <protection locked="0"/>
    </xf>
    <xf numFmtId="4" fontId="10" fillId="12" borderId="125" xfId="99" applyNumberFormat="1" applyFont="1" applyFill="1" applyBorder="1" applyAlignment="1" applyProtection="1">
      <alignment horizontal="right"/>
      <protection locked="0"/>
    </xf>
    <xf numFmtId="39" fontId="39" fillId="12" borderId="0" xfId="0" applyNumberFormat="1" applyFont="1" applyFill="1" applyAlignment="1">
      <alignment horizontal="right"/>
      <protection locked="0"/>
    </xf>
    <xf numFmtId="39" fontId="39" fillId="12" borderId="125" xfId="0" applyNumberFormat="1" applyFont="1" applyFill="1" applyBorder="1" applyAlignment="1">
      <alignment horizontal="right"/>
      <protection locked="0"/>
    </xf>
    <xf numFmtId="4" fontId="10" fillId="12" borderId="125" xfId="46" applyNumberFormat="1" applyFont="1" applyFill="1" applyBorder="1" applyAlignment="1">
      <alignment horizontal="right"/>
      <protection locked="0"/>
    </xf>
    <xf numFmtId="39" fontId="10" fillId="12" borderId="125" xfId="0" applyNumberFormat="1" applyFont="1" applyFill="1" applyBorder="1" applyAlignment="1">
      <alignment horizontal="right"/>
      <protection locked="0"/>
    </xf>
    <xf numFmtId="39" fontId="98" fillId="12" borderId="125" xfId="0" applyNumberFormat="1" applyFont="1" applyFill="1" applyBorder="1" applyAlignment="1">
      <alignment horizontal="right"/>
      <protection locked="0"/>
    </xf>
    <xf numFmtId="4" fontId="10" fillId="12" borderId="125" xfId="68" applyNumberFormat="1" applyFont="1" applyFill="1" applyBorder="1" applyAlignment="1">
      <alignment horizontal="right"/>
      <protection locked="0"/>
    </xf>
    <xf numFmtId="4" fontId="39" fillId="12" borderId="125" xfId="68" applyNumberFormat="1" applyFont="1" applyFill="1" applyBorder="1" applyAlignment="1">
      <alignment horizontal="right"/>
      <protection locked="0"/>
    </xf>
    <xf numFmtId="4" fontId="74" fillId="12" borderId="125" xfId="31" applyNumberFormat="1" applyFont="1" applyFill="1" applyBorder="1" applyAlignment="1" applyProtection="1">
      <alignment horizontal="right"/>
      <protection locked="0"/>
    </xf>
    <xf numFmtId="4" fontId="139" fillId="12" borderId="125" xfId="31" applyNumberFormat="1" applyFont="1" applyFill="1" applyBorder="1" applyAlignment="1" applyProtection="1">
      <alignment horizontal="right"/>
      <protection locked="0"/>
    </xf>
    <xf numFmtId="4" fontId="59" fillId="12" borderId="125" xfId="0" applyNumberFormat="1" applyFont="1" applyFill="1" applyBorder="1" applyAlignment="1">
      <alignment horizontal="right"/>
      <protection locked="0"/>
    </xf>
    <xf numFmtId="0" fontId="13" fillId="12" borderId="125" xfId="0" applyFont="1" applyFill="1" applyBorder="1" applyAlignment="1">
      <alignment horizontal="center" vertical="top"/>
      <protection locked="0"/>
    </xf>
    <xf numFmtId="4" fontId="10" fillId="12" borderId="125" xfId="97" applyNumberFormat="1" applyFont="1" applyFill="1" applyBorder="1" applyAlignment="1" applyProtection="1">
      <alignment horizontal="right"/>
      <protection locked="0"/>
    </xf>
    <xf numFmtId="39" fontId="10" fillId="12" borderId="125" xfId="28" applyNumberFormat="1" applyFont="1" applyFill="1" applyBorder="1" applyAlignment="1">
      <alignment horizontal="right"/>
      <protection locked="0"/>
    </xf>
    <xf numFmtId="0" fontId="304" fillId="12" borderId="125" xfId="0" applyFont="1" applyFill="1" applyBorder="1" applyAlignment="1">
      <alignment horizontal="center" vertical="center"/>
      <protection locked="0"/>
    </xf>
    <xf numFmtId="4" fontId="10" fillId="12" borderId="125" xfId="0" applyNumberFormat="1" applyFont="1" applyFill="1" applyBorder="1" applyAlignment="1">
      <alignment horizontal="right"/>
      <protection locked="0"/>
    </xf>
    <xf numFmtId="4" fontId="39" fillId="12" borderId="125" xfId="0" applyNumberFormat="1" applyFont="1" applyFill="1" applyBorder="1" applyAlignment="1">
      <alignment horizontal="right"/>
      <protection locked="0"/>
    </xf>
    <xf numFmtId="39" fontId="10" fillId="12" borderId="125" xfId="0" applyNumberFormat="1" applyFont="1" applyFill="1" applyBorder="1" applyAlignment="1">
      <alignment horizontal="center"/>
      <protection locked="0"/>
    </xf>
    <xf numFmtId="0" fontId="30" fillId="12" borderId="125" xfId="3" applyFont="1" applyFill="1" applyBorder="1" applyAlignment="1" applyProtection="1">
      <alignment horizontal="left" wrapText="1"/>
      <protection locked="0"/>
    </xf>
    <xf numFmtId="0" fontId="10" fillId="12" borderId="125" xfId="28" applyFont="1" applyFill="1" applyBorder="1" applyAlignment="1">
      <alignment horizontal="left" wrapText="1"/>
      <protection locked="0"/>
    </xf>
    <xf numFmtId="39" fontId="98" fillId="12" borderId="125" xfId="28" applyNumberFormat="1" applyFont="1" applyFill="1" applyBorder="1" applyAlignment="1">
      <alignment horizontal="right"/>
      <protection locked="0"/>
    </xf>
    <xf numFmtId="39" fontId="10" fillId="12" borderId="125" xfId="63" applyNumberFormat="1" applyFont="1" applyFill="1" applyBorder="1" applyAlignment="1">
      <alignment horizontal="right"/>
    </xf>
    <xf numFmtId="39" fontId="39" fillId="13" borderId="0" xfId="0" applyNumberFormat="1" applyFont="1" applyFill="1" applyAlignment="1">
      <alignment horizontal="right"/>
      <protection locked="0"/>
    </xf>
    <xf numFmtId="39" fontId="39" fillId="13" borderId="125" xfId="0" applyNumberFormat="1" applyFont="1" applyFill="1" applyBorder="1" applyAlignment="1">
      <alignment horizontal="right"/>
      <protection locked="0"/>
    </xf>
    <xf numFmtId="4" fontId="10" fillId="13" borderId="125" xfId="46" applyNumberFormat="1" applyFont="1" applyFill="1" applyBorder="1" applyAlignment="1">
      <alignment horizontal="right"/>
      <protection locked="0"/>
    </xf>
    <xf numFmtId="39" fontId="10" fillId="13" borderId="125" xfId="0" applyNumberFormat="1" applyFont="1" applyFill="1" applyBorder="1" applyAlignment="1">
      <alignment horizontal="right"/>
      <protection locked="0"/>
    </xf>
    <xf numFmtId="39" fontId="98" fillId="13" borderId="125" xfId="0" applyNumberFormat="1" applyFont="1" applyFill="1" applyBorder="1" applyAlignment="1">
      <alignment horizontal="right"/>
      <protection locked="0"/>
    </xf>
    <xf numFmtId="4" fontId="10" fillId="13" borderId="125" xfId="68" applyNumberFormat="1" applyFont="1" applyFill="1" applyBorder="1" applyAlignment="1">
      <alignment horizontal="right"/>
      <protection locked="0"/>
    </xf>
    <xf numFmtId="4" fontId="39" fillId="13" borderId="125" xfId="68" applyNumberFormat="1" applyFont="1" applyFill="1" applyBorder="1" applyAlignment="1">
      <alignment horizontal="right"/>
      <protection locked="0"/>
    </xf>
    <xf numFmtId="4" fontId="74" fillId="13" borderId="125" xfId="31" applyNumberFormat="1" applyFont="1" applyFill="1" applyBorder="1" applyAlignment="1" applyProtection="1">
      <alignment horizontal="right"/>
      <protection locked="0"/>
    </xf>
    <xf numFmtId="4" fontId="139" fillId="13" borderId="125" xfId="31" applyNumberFormat="1" applyFont="1" applyFill="1" applyBorder="1" applyAlignment="1" applyProtection="1">
      <alignment horizontal="right"/>
      <protection locked="0"/>
    </xf>
    <xf numFmtId="4" fontId="59" fillId="13" borderId="125" xfId="0" applyNumberFormat="1" applyFont="1" applyFill="1" applyBorder="1" applyAlignment="1">
      <alignment horizontal="right"/>
      <protection locked="0"/>
    </xf>
    <xf numFmtId="0" fontId="13" fillId="13" borderId="125" xfId="0" applyFont="1" applyFill="1" applyBorder="1" applyAlignment="1">
      <alignment horizontal="center" vertical="top"/>
      <protection locked="0"/>
    </xf>
    <xf numFmtId="4" fontId="10" fillId="13" borderId="125" xfId="97" applyNumberFormat="1" applyFont="1" applyFill="1" applyBorder="1" applyAlignment="1" applyProtection="1">
      <alignment horizontal="right"/>
      <protection locked="0"/>
    </xf>
    <xf numFmtId="39" fontId="10" fillId="13" borderId="125" xfId="28" applyNumberFormat="1" applyFont="1" applyFill="1" applyBorder="1" applyAlignment="1">
      <alignment horizontal="right"/>
      <protection locked="0"/>
    </xf>
    <xf numFmtId="0" fontId="304" fillId="13" borderId="125" xfId="0" applyFont="1" applyFill="1" applyBorder="1" applyAlignment="1">
      <alignment horizontal="center" vertical="center"/>
      <protection locked="0"/>
    </xf>
    <xf numFmtId="4" fontId="10" fillId="13" borderId="125" xfId="0" applyNumberFormat="1" applyFont="1" applyFill="1" applyBorder="1" applyAlignment="1">
      <alignment horizontal="right"/>
      <protection locked="0"/>
    </xf>
    <xf numFmtId="4" fontId="39" fillId="13" borderId="125" xfId="0" applyNumberFormat="1" applyFont="1" applyFill="1" applyBorder="1" applyAlignment="1">
      <alignment horizontal="right"/>
      <protection locked="0"/>
    </xf>
    <xf numFmtId="39" fontId="10" fillId="13" borderId="125" xfId="0" applyNumberFormat="1" applyFont="1" applyFill="1" applyBorder="1" applyAlignment="1">
      <alignment horizontal="center"/>
      <protection locked="0"/>
    </xf>
    <xf numFmtId="0" fontId="30" fillId="13" borderId="125" xfId="3" applyFont="1" applyFill="1" applyBorder="1" applyAlignment="1" applyProtection="1">
      <alignment horizontal="left" wrapText="1"/>
      <protection locked="0"/>
    </xf>
    <xf numFmtId="0" fontId="10" fillId="13" borderId="125" xfId="28" applyFont="1" applyFill="1" applyBorder="1" applyAlignment="1">
      <alignment horizontal="left" wrapText="1"/>
      <protection locked="0"/>
    </xf>
    <xf numFmtId="4" fontId="10" fillId="13" borderId="125" xfId="31" applyNumberFormat="1" applyFont="1" applyFill="1" applyBorder="1" applyAlignment="1" applyProtection="1">
      <alignment horizontal="right"/>
      <protection locked="0"/>
    </xf>
    <xf numFmtId="4" fontId="10" fillId="13" borderId="125" xfId="26" applyNumberFormat="1" applyFont="1" applyFill="1" applyBorder="1" applyAlignment="1" applyProtection="1">
      <alignment horizontal="right"/>
      <protection locked="0"/>
    </xf>
    <xf numFmtId="39" fontId="98" fillId="13" borderId="125" xfId="28" applyNumberFormat="1" applyFont="1" applyFill="1" applyBorder="1" applyAlignment="1">
      <alignment horizontal="right"/>
      <protection locked="0"/>
    </xf>
    <xf numFmtId="39" fontId="10" fillId="13" borderId="125" xfId="63" applyNumberFormat="1" applyFont="1" applyFill="1" applyBorder="1" applyAlignment="1">
      <alignment horizontal="right"/>
    </xf>
    <xf numFmtId="39" fontId="39" fillId="12" borderId="30" xfId="71" applyNumberFormat="1" applyFont="1" applyFill="1" applyBorder="1" applyAlignment="1">
      <alignment horizontal="right"/>
    </xf>
    <xf numFmtId="4" fontId="10" fillId="12" borderId="30" xfId="90" applyNumberFormat="1" applyFont="1" applyFill="1" applyBorder="1" applyAlignment="1" applyProtection="1">
      <alignment horizontal="right"/>
      <protection locked="0"/>
    </xf>
    <xf numFmtId="39" fontId="10" fillId="12" borderId="30" xfId="71" applyNumberFormat="1" applyFont="1" applyFill="1" applyBorder="1" applyAlignment="1" applyProtection="1">
      <alignment horizontal="right"/>
      <protection locked="0"/>
    </xf>
    <xf numFmtId="39" fontId="10" fillId="12" borderId="72" xfId="71" applyNumberFormat="1" applyFont="1" applyFill="1" applyBorder="1" applyAlignment="1" applyProtection="1">
      <alignment horizontal="right"/>
      <protection locked="0"/>
    </xf>
    <xf numFmtId="4" fontId="10" fillId="12" borderId="75" xfId="90" applyNumberFormat="1" applyFont="1" applyFill="1" applyBorder="1" applyAlignment="1" applyProtection="1">
      <alignment horizontal="right"/>
      <protection locked="0"/>
    </xf>
    <xf numFmtId="39" fontId="10" fillId="12" borderId="76" xfId="71" applyNumberFormat="1" applyFont="1" applyFill="1" applyBorder="1" applyAlignment="1" applyProtection="1">
      <alignment horizontal="right"/>
      <protection locked="0"/>
    </xf>
    <xf numFmtId="4" fontId="10" fillId="12" borderId="79" xfId="90" applyNumberFormat="1" applyFont="1" applyFill="1" applyBorder="1" applyAlignment="1" applyProtection="1">
      <alignment horizontal="right"/>
      <protection locked="0"/>
    </xf>
    <xf numFmtId="39" fontId="10" fillId="12" borderId="80" xfId="71" applyNumberFormat="1" applyFont="1" applyFill="1" applyBorder="1" applyAlignment="1" applyProtection="1">
      <alignment horizontal="right"/>
      <protection locked="0"/>
    </xf>
    <xf numFmtId="4" fontId="10" fillId="12" borderId="83" xfId="90" applyNumberFormat="1" applyFont="1" applyFill="1" applyBorder="1" applyAlignment="1" applyProtection="1">
      <alignment horizontal="right"/>
      <protection locked="0"/>
    </xf>
    <xf numFmtId="39" fontId="10" fillId="12" borderId="84" xfId="71" applyNumberFormat="1" applyFont="1" applyFill="1" applyBorder="1" applyAlignment="1" applyProtection="1">
      <alignment horizontal="right"/>
      <protection locked="0"/>
    </xf>
    <xf numFmtId="4" fontId="10" fillId="12" borderId="87" xfId="90" applyNumberFormat="1" applyFont="1" applyFill="1" applyBorder="1" applyAlignment="1" applyProtection="1">
      <alignment horizontal="right"/>
      <protection locked="0"/>
    </xf>
    <xf numFmtId="39" fontId="10" fillId="12" borderId="88" xfId="71" applyNumberFormat="1" applyFont="1" applyFill="1" applyBorder="1" applyAlignment="1" applyProtection="1">
      <alignment horizontal="right"/>
      <protection locked="0"/>
    </xf>
    <xf numFmtId="4" fontId="10" fillId="12" borderId="91" xfId="90" applyNumberFormat="1" applyFont="1" applyFill="1" applyBorder="1" applyAlignment="1" applyProtection="1">
      <alignment horizontal="right"/>
      <protection locked="0"/>
    </xf>
    <xf numFmtId="39" fontId="10" fillId="12" borderId="92" xfId="71" applyNumberFormat="1" applyFont="1" applyFill="1" applyBorder="1" applyAlignment="1" applyProtection="1">
      <alignment horizontal="right"/>
      <protection locked="0"/>
    </xf>
    <xf numFmtId="4" fontId="10" fillId="12" borderId="95" xfId="90" applyNumberFormat="1" applyFont="1" applyFill="1" applyBorder="1" applyAlignment="1" applyProtection="1">
      <alignment horizontal="right"/>
      <protection locked="0"/>
    </xf>
    <xf numFmtId="39" fontId="10" fillId="12" borderId="96" xfId="71" applyNumberFormat="1" applyFont="1" applyFill="1" applyBorder="1" applyAlignment="1" applyProtection="1">
      <alignment horizontal="right"/>
      <protection locked="0"/>
    </xf>
    <xf numFmtId="4" fontId="10" fillId="12" borderId="99" xfId="90" applyNumberFormat="1" applyFont="1" applyFill="1" applyBorder="1" applyAlignment="1" applyProtection="1">
      <alignment horizontal="right"/>
      <protection locked="0"/>
    </xf>
    <xf numFmtId="39" fontId="10" fillId="12" borderId="100" xfId="71" applyNumberFormat="1" applyFont="1" applyFill="1" applyBorder="1" applyAlignment="1" applyProtection="1">
      <alignment horizontal="right"/>
      <protection locked="0"/>
    </xf>
    <xf numFmtId="4" fontId="10" fillId="12" borderId="103" xfId="90" applyNumberFormat="1" applyFont="1" applyFill="1" applyBorder="1" applyAlignment="1" applyProtection="1">
      <alignment horizontal="right"/>
      <protection locked="0"/>
    </xf>
    <xf numFmtId="39" fontId="10" fillId="12" borderId="104" xfId="71" applyNumberFormat="1" applyFont="1" applyFill="1" applyBorder="1" applyAlignment="1" applyProtection="1">
      <alignment horizontal="right"/>
      <protection locked="0"/>
    </xf>
    <xf numFmtId="4" fontId="10" fillId="12" borderId="107" xfId="90" applyNumberFormat="1" applyFont="1" applyFill="1" applyBorder="1" applyAlignment="1" applyProtection="1">
      <alignment horizontal="right"/>
      <protection locked="0"/>
    </xf>
    <xf numFmtId="39" fontId="10" fillId="12" borderId="108" xfId="71" applyNumberFormat="1" applyFont="1" applyFill="1" applyBorder="1" applyAlignment="1" applyProtection="1">
      <alignment horizontal="right"/>
      <protection locked="0"/>
    </xf>
    <xf numFmtId="4" fontId="10" fillId="12" borderId="111" xfId="90" applyNumberFormat="1" applyFont="1" applyFill="1" applyBorder="1" applyAlignment="1" applyProtection="1">
      <alignment horizontal="right"/>
      <protection locked="0"/>
    </xf>
    <xf numFmtId="39" fontId="10" fillId="12" borderId="112" xfId="71" applyNumberFormat="1" applyFont="1" applyFill="1" applyBorder="1" applyAlignment="1" applyProtection="1">
      <alignment horizontal="right"/>
      <protection locked="0"/>
    </xf>
    <xf numFmtId="4" fontId="10" fillId="12" borderId="115" xfId="90" applyNumberFormat="1" applyFont="1" applyFill="1" applyBorder="1" applyAlignment="1" applyProtection="1">
      <alignment horizontal="right"/>
      <protection locked="0"/>
    </xf>
    <xf numFmtId="39" fontId="10" fillId="12" borderId="116" xfId="71" applyNumberFormat="1" applyFont="1" applyFill="1" applyBorder="1" applyAlignment="1" applyProtection="1">
      <alignment horizontal="right"/>
      <protection locked="0"/>
    </xf>
    <xf numFmtId="4" fontId="10" fillId="12" borderId="119" xfId="90" applyNumberFormat="1" applyFont="1" applyFill="1" applyBorder="1" applyAlignment="1" applyProtection="1">
      <alignment horizontal="right"/>
      <protection locked="0"/>
    </xf>
    <xf numFmtId="4" fontId="10" fillId="12" borderId="119" xfId="71" applyNumberFormat="1" applyFont="1" applyFill="1" applyBorder="1" applyAlignment="1" applyProtection="1">
      <alignment horizontal="right"/>
      <protection locked="0"/>
    </xf>
    <xf numFmtId="39" fontId="10" fillId="12" borderId="122" xfId="71" applyNumberFormat="1" applyFont="1" applyFill="1" applyBorder="1" applyAlignment="1" applyProtection="1">
      <alignment horizontal="right"/>
      <protection locked="0"/>
    </xf>
    <xf numFmtId="4" fontId="10" fillId="12" borderId="125" xfId="90" applyNumberFormat="1" applyFont="1" applyFill="1" applyBorder="1" applyAlignment="1" applyProtection="1">
      <alignment horizontal="right"/>
      <protection locked="0"/>
    </xf>
    <xf numFmtId="4" fontId="10" fillId="12" borderId="124" xfId="90" applyNumberFormat="1" applyFont="1" applyFill="1" applyBorder="1" applyAlignment="1" applyProtection="1">
      <alignment horizontal="right"/>
      <protection locked="0"/>
    </xf>
    <xf numFmtId="4" fontId="10" fillId="12" borderId="125" xfId="60" applyNumberFormat="1" applyFont="1" applyFill="1" applyBorder="1" applyAlignment="1">
      <alignment horizontal="right"/>
      <protection locked="0"/>
    </xf>
    <xf numFmtId="39" fontId="39" fillId="12" borderId="125" xfId="3" applyNumberFormat="1" applyFont="1" applyFill="1" applyBorder="1" applyAlignment="1" applyProtection="1">
      <alignment horizontal="right"/>
      <protection locked="0"/>
    </xf>
    <xf numFmtId="4" fontId="59" fillId="12" borderId="125" xfId="71" applyNumberFormat="1" applyFont="1" applyFill="1" applyBorder="1" applyAlignment="1" applyProtection="1">
      <alignment horizontal="right"/>
      <protection locked="0"/>
    </xf>
    <xf numFmtId="39" fontId="56" fillId="12" borderId="125" xfId="71" applyNumberFormat="1" applyFont="1" applyFill="1" applyBorder="1" applyAlignment="1" applyProtection="1">
      <alignment horizontal="right"/>
      <protection locked="0"/>
    </xf>
    <xf numFmtId="39" fontId="98" fillId="12" borderId="125" xfId="71" applyNumberFormat="1" applyFont="1" applyFill="1" applyBorder="1" applyAlignment="1" applyProtection="1">
      <alignment horizontal="right"/>
      <protection locked="0"/>
    </xf>
    <xf numFmtId="4" fontId="10" fillId="12" borderId="87" xfId="60" applyNumberFormat="1" applyFont="1" applyFill="1" applyBorder="1" applyAlignment="1">
      <alignment horizontal="right"/>
      <protection locked="0"/>
    </xf>
    <xf numFmtId="4" fontId="124" fillId="12" borderId="87" xfId="60" applyNumberFormat="1" applyFont="1" applyFill="1" applyBorder="1" applyAlignment="1">
      <alignment horizontal="right" vertical="center"/>
      <protection locked="0"/>
    </xf>
    <xf numFmtId="39" fontId="39" fillId="12" borderId="87" xfId="6" applyNumberFormat="1" applyFont="1" applyFill="1" applyBorder="1" applyAlignment="1" applyProtection="1">
      <alignment horizontal="right"/>
      <protection locked="0"/>
    </xf>
    <xf numFmtId="39" fontId="10" fillId="12" borderId="87" xfId="71" applyNumberFormat="1" applyFont="1" applyFill="1" applyBorder="1" applyAlignment="1" applyProtection="1">
      <alignment horizontal="right"/>
      <protection locked="0"/>
    </xf>
    <xf numFmtId="39" fontId="98" fillId="12" borderId="87" xfId="71" applyNumberFormat="1" applyFont="1" applyFill="1" applyBorder="1" applyAlignment="1" applyProtection="1">
      <alignment horizontal="right"/>
      <protection locked="0"/>
    </xf>
    <xf numFmtId="4" fontId="30" fillId="12" borderId="87" xfId="71" applyNumberFormat="1" applyFont="1" applyFill="1" applyBorder="1" applyAlignment="1" applyProtection="1">
      <alignment horizontal="right"/>
      <protection locked="0"/>
    </xf>
    <xf numFmtId="4" fontId="59" fillId="12" borderId="87" xfId="71" applyNumberFormat="1" applyFont="1" applyFill="1" applyBorder="1" applyAlignment="1" applyProtection="1">
      <alignment horizontal="right"/>
      <protection locked="0"/>
    </xf>
    <xf numFmtId="39" fontId="10" fillId="12" borderId="79" xfId="71" applyNumberFormat="1" applyFont="1" applyFill="1" applyBorder="1" applyAlignment="1" applyProtection="1">
      <alignment horizontal="right"/>
      <protection locked="0"/>
    </xf>
    <xf numFmtId="4" fontId="10" fillId="12" borderId="79" xfId="71" applyNumberFormat="1" applyFont="1" applyFill="1" applyBorder="1" applyAlignment="1" applyProtection="1">
      <alignment horizontal="right"/>
      <protection locked="0"/>
    </xf>
    <xf numFmtId="4" fontId="10" fillId="12" borderId="79" xfId="60" applyNumberFormat="1" applyFont="1" applyFill="1" applyBorder="1" applyAlignment="1">
      <alignment horizontal="right"/>
      <protection locked="0"/>
    </xf>
    <xf numFmtId="39" fontId="39" fillId="12" borderId="79" xfId="3" applyNumberFormat="1" applyFont="1" applyFill="1" applyBorder="1" applyAlignment="1" applyProtection="1">
      <alignment horizontal="right"/>
      <protection locked="0"/>
    </xf>
    <xf numFmtId="171" fontId="10" fillId="12" borderId="79" xfId="71" applyNumberFormat="1" applyFont="1" applyFill="1" applyBorder="1" applyAlignment="1" applyProtection="1">
      <alignment horizontal="right"/>
      <protection locked="0"/>
    </xf>
    <xf numFmtId="39" fontId="30" fillId="12" borderId="79" xfId="71" applyNumberFormat="1" applyFont="1" applyFill="1" applyBorder="1" applyAlignment="1" applyProtection="1">
      <alignment horizontal="right"/>
      <protection locked="0"/>
    </xf>
    <xf numFmtId="39" fontId="10" fillId="12" borderId="79" xfId="35" applyNumberFormat="1" applyFont="1" applyFill="1" applyBorder="1" applyAlignment="1">
      <alignment horizontal="right"/>
      <protection locked="0"/>
    </xf>
    <xf numFmtId="39" fontId="10" fillId="12" borderId="79" xfId="60" applyNumberFormat="1" applyFont="1" applyFill="1" applyBorder="1" applyAlignment="1" applyProtection="1">
      <alignment horizontal="right"/>
    </xf>
    <xf numFmtId="39" fontId="10" fillId="12" borderId="15" xfId="0" applyNumberFormat="1" applyFont="1" applyFill="1" applyBorder="1" applyAlignment="1">
      <alignment horizontal="right"/>
      <protection locked="0"/>
    </xf>
    <xf numFmtId="39" fontId="39" fillId="13" borderId="30" xfId="71" applyNumberFormat="1" applyFont="1" applyFill="1" applyBorder="1" applyAlignment="1">
      <alignment horizontal="right"/>
    </xf>
    <xf numFmtId="39" fontId="39" fillId="13" borderId="30" xfId="71" applyNumberFormat="1" applyFont="1" applyFill="1" applyBorder="1" applyAlignment="1" applyProtection="1">
      <alignment horizontal="right"/>
      <protection locked="0"/>
    </xf>
    <xf numFmtId="4" fontId="10" fillId="13" borderId="30" xfId="90" applyNumberFormat="1" applyFont="1" applyFill="1" applyBorder="1" applyAlignment="1" applyProtection="1">
      <alignment horizontal="right"/>
      <protection locked="0"/>
    </xf>
    <xf numFmtId="39" fontId="10" fillId="13" borderId="30" xfId="71" applyNumberFormat="1" applyFont="1" applyFill="1" applyBorder="1" applyAlignment="1" applyProtection="1">
      <alignment horizontal="right"/>
      <protection locked="0"/>
    </xf>
    <xf numFmtId="39" fontId="10" fillId="13" borderId="72" xfId="71" applyNumberFormat="1" applyFont="1" applyFill="1" applyBorder="1" applyAlignment="1" applyProtection="1">
      <alignment horizontal="right"/>
      <protection locked="0"/>
    </xf>
    <xf numFmtId="4" fontId="10" fillId="13" borderId="75" xfId="90" applyNumberFormat="1" applyFont="1" applyFill="1" applyBorder="1" applyAlignment="1" applyProtection="1">
      <alignment horizontal="right"/>
      <protection locked="0"/>
    </xf>
    <xf numFmtId="39" fontId="10" fillId="13" borderId="76" xfId="71" applyNumberFormat="1" applyFont="1" applyFill="1" applyBorder="1" applyAlignment="1" applyProtection="1">
      <alignment horizontal="right"/>
      <protection locked="0"/>
    </xf>
    <xf numFmtId="4" fontId="10" fillId="13" borderId="79" xfId="90" applyNumberFormat="1" applyFont="1" applyFill="1" applyBorder="1" applyAlignment="1" applyProtection="1">
      <alignment horizontal="right"/>
      <protection locked="0"/>
    </xf>
    <xf numFmtId="39" fontId="10" fillId="13" borderId="80" xfId="71" applyNumberFormat="1" applyFont="1" applyFill="1" applyBorder="1" applyAlignment="1" applyProtection="1">
      <alignment horizontal="right"/>
      <protection locked="0"/>
    </xf>
    <xf numFmtId="4" fontId="10" fillId="13" borderId="83" xfId="90" applyNumberFormat="1" applyFont="1" applyFill="1" applyBorder="1" applyAlignment="1" applyProtection="1">
      <alignment horizontal="right"/>
      <protection locked="0"/>
    </xf>
    <xf numFmtId="39" fontId="10" fillId="13" borderId="84" xfId="71" applyNumberFormat="1" applyFont="1" applyFill="1" applyBorder="1" applyAlignment="1" applyProtection="1">
      <alignment horizontal="right"/>
      <protection locked="0"/>
    </xf>
    <xf numFmtId="4" fontId="10" fillId="13" borderId="87" xfId="90" applyNumberFormat="1" applyFont="1" applyFill="1" applyBorder="1" applyAlignment="1" applyProtection="1">
      <alignment horizontal="right"/>
      <protection locked="0"/>
    </xf>
    <xf numFmtId="39" fontId="10" fillId="13" borderId="88" xfId="71" applyNumberFormat="1" applyFont="1" applyFill="1" applyBorder="1" applyAlignment="1" applyProtection="1">
      <alignment horizontal="right"/>
      <protection locked="0"/>
    </xf>
    <xf numFmtId="4" fontId="10" fillId="13" borderId="91" xfId="90" applyNumberFormat="1" applyFont="1" applyFill="1" applyBorder="1" applyAlignment="1" applyProtection="1">
      <alignment horizontal="right"/>
      <protection locked="0"/>
    </xf>
    <xf numFmtId="39" fontId="10" fillId="13" borderId="92" xfId="71" applyNumberFormat="1" applyFont="1" applyFill="1" applyBorder="1" applyAlignment="1" applyProtection="1">
      <alignment horizontal="right"/>
      <protection locked="0"/>
    </xf>
    <xf numFmtId="4" fontId="10" fillId="13" borderId="95" xfId="90" applyNumberFormat="1" applyFont="1" applyFill="1" applyBorder="1" applyAlignment="1" applyProtection="1">
      <alignment horizontal="right"/>
      <protection locked="0"/>
    </xf>
    <xf numFmtId="39" fontId="10" fillId="13" borderId="96" xfId="71" applyNumberFormat="1" applyFont="1" applyFill="1" applyBorder="1" applyAlignment="1" applyProtection="1">
      <alignment horizontal="right"/>
      <protection locked="0"/>
    </xf>
    <xf numFmtId="4" fontId="10" fillId="13" borderId="99" xfId="90" applyNumberFormat="1" applyFont="1" applyFill="1" applyBorder="1" applyAlignment="1" applyProtection="1">
      <alignment horizontal="right"/>
      <protection locked="0"/>
    </xf>
    <xf numFmtId="39" fontId="10" fillId="13" borderId="100" xfId="71" applyNumberFormat="1" applyFont="1" applyFill="1" applyBorder="1" applyAlignment="1" applyProtection="1">
      <alignment horizontal="right"/>
      <protection locked="0"/>
    </xf>
    <xf numFmtId="4" fontId="10" fillId="13" borderId="103" xfId="90" applyNumberFormat="1" applyFont="1" applyFill="1" applyBorder="1" applyAlignment="1" applyProtection="1">
      <alignment horizontal="right"/>
      <protection locked="0"/>
    </xf>
    <xf numFmtId="39" fontId="10" fillId="13" borderId="104" xfId="71" applyNumberFormat="1" applyFont="1" applyFill="1" applyBorder="1" applyAlignment="1" applyProtection="1">
      <alignment horizontal="right"/>
      <protection locked="0"/>
    </xf>
    <xf numFmtId="4" fontId="10" fillId="13" borderId="107" xfId="90" applyNumberFormat="1" applyFont="1" applyFill="1" applyBorder="1" applyAlignment="1" applyProtection="1">
      <alignment horizontal="right"/>
      <protection locked="0"/>
    </xf>
    <xf numFmtId="39" fontId="10" fillId="13" borderId="108" xfId="71" applyNumberFormat="1" applyFont="1" applyFill="1" applyBorder="1" applyAlignment="1" applyProtection="1">
      <alignment horizontal="right"/>
      <protection locked="0"/>
    </xf>
    <xf numFmtId="4" fontId="10" fillId="13" borderId="111" xfId="90" applyNumberFormat="1" applyFont="1" applyFill="1" applyBorder="1" applyAlignment="1" applyProtection="1">
      <alignment horizontal="right"/>
      <protection locked="0"/>
    </xf>
    <xf numFmtId="39" fontId="10" fillId="13" borderId="112" xfId="71" applyNumberFormat="1" applyFont="1" applyFill="1" applyBorder="1" applyAlignment="1" applyProtection="1">
      <alignment horizontal="right"/>
      <protection locked="0"/>
    </xf>
    <xf numFmtId="4" fontId="10" fillId="13" borderId="115" xfId="90" applyNumberFormat="1" applyFont="1" applyFill="1" applyBorder="1" applyAlignment="1" applyProtection="1">
      <alignment horizontal="right"/>
      <protection locked="0"/>
    </xf>
    <xf numFmtId="39" fontId="10" fillId="13" borderId="116" xfId="71" applyNumberFormat="1" applyFont="1" applyFill="1" applyBorder="1" applyAlignment="1" applyProtection="1">
      <alignment horizontal="right"/>
      <protection locked="0"/>
    </xf>
    <xf numFmtId="4" fontId="10" fillId="13" borderId="119" xfId="90" applyNumberFormat="1" applyFont="1" applyFill="1" applyBorder="1" applyAlignment="1" applyProtection="1">
      <alignment horizontal="right"/>
      <protection locked="0"/>
    </xf>
    <xf numFmtId="4" fontId="10" fillId="13" borderId="119" xfId="71" applyNumberFormat="1" applyFont="1" applyFill="1" applyBorder="1" applyAlignment="1" applyProtection="1">
      <alignment horizontal="right"/>
      <protection locked="0"/>
    </xf>
    <xf numFmtId="39" fontId="10" fillId="13" borderId="122" xfId="71" applyNumberFormat="1" applyFont="1" applyFill="1" applyBorder="1" applyAlignment="1" applyProtection="1">
      <alignment horizontal="right"/>
      <protection locked="0"/>
    </xf>
    <xf numFmtId="4" fontId="10" fillId="13" borderId="125" xfId="90" applyNumberFormat="1" applyFont="1" applyFill="1" applyBorder="1" applyAlignment="1" applyProtection="1">
      <alignment horizontal="right"/>
      <protection locked="0"/>
    </xf>
    <xf numFmtId="4" fontId="10" fillId="13" borderId="124" xfId="90" applyNumberFormat="1" applyFont="1" applyFill="1" applyBorder="1" applyAlignment="1" applyProtection="1">
      <alignment horizontal="right"/>
      <protection locked="0"/>
    </xf>
    <xf numFmtId="39" fontId="10" fillId="13" borderId="125" xfId="71" applyNumberFormat="1" applyFont="1" applyFill="1" applyBorder="1" applyAlignment="1" applyProtection="1">
      <alignment horizontal="right"/>
      <protection locked="0"/>
    </xf>
    <xf numFmtId="4" fontId="10" fillId="13" borderId="125" xfId="60" applyNumberFormat="1" applyFont="1" applyFill="1" applyBorder="1" applyAlignment="1">
      <alignment horizontal="right"/>
      <protection locked="0"/>
    </xf>
    <xf numFmtId="39" fontId="39" fillId="13" borderId="125" xfId="3" applyNumberFormat="1" applyFont="1" applyFill="1" applyBorder="1" applyAlignment="1" applyProtection="1">
      <alignment horizontal="right"/>
      <protection locked="0"/>
    </xf>
    <xf numFmtId="4" fontId="30" fillId="13" borderId="125" xfId="71" applyNumberFormat="1" applyFont="1" applyFill="1" applyBorder="1" applyAlignment="1" applyProtection="1">
      <alignment horizontal="right"/>
      <protection locked="0"/>
    </xf>
    <xf numFmtId="4" fontId="59" fillId="13" borderId="125" xfId="71" applyNumberFormat="1" applyFont="1" applyFill="1" applyBorder="1" applyAlignment="1" applyProtection="1">
      <alignment horizontal="right"/>
      <protection locked="0"/>
    </xf>
    <xf numFmtId="39" fontId="56" fillId="13" borderId="125" xfId="71" applyNumberFormat="1" applyFont="1" applyFill="1" applyBorder="1" applyAlignment="1" applyProtection="1">
      <alignment horizontal="right"/>
      <protection locked="0"/>
    </xf>
    <xf numFmtId="39" fontId="98" fillId="13" borderId="125" xfId="71" applyNumberFormat="1" applyFont="1" applyFill="1" applyBorder="1" applyAlignment="1" applyProtection="1">
      <alignment horizontal="right"/>
      <protection locked="0"/>
    </xf>
    <xf numFmtId="39" fontId="30" fillId="13" borderId="125" xfId="3" applyNumberFormat="1" applyFont="1" applyFill="1" applyBorder="1" applyAlignment="1" applyProtection="1">
      <alignment horizontal="right"/>
      <protection locked="0"/>
    </xf>
    <xf numFmtId="4" fontId="10" fillId="13" borderId="87" xfId="60" applyNumberFormat="1" applyFont="1" applyFill="1" applyBorder="1" applyAlignment="1">
      <alignment horizontal="right"/>
      <protection locked="0"/>
    </xf>
    <xf numFmtId="4" fontId="124" fillId="13" borderId="87" xfId="60" applyNumberFormat="1" applyFont="1" applyFill="1" applyBorder="1" applyAlignment="1">
      <alignment horizontal="right" vertical="center"/>
      <protection locked="0"/>
    </xf>
    <xf numFmtId="39" fontId="39" fillId="13" borderId="87" xfId="6" applyNumberFormat="1" applyFont="1" applyFill="1" applyBorder="1" applyAlignment="1" applyProtection="1">
      <alignment horizontal="right"/>
      <protection locked="0"/>
    </xf>
    <xf numFmtId="39" fontId="10" fillId="13" borderId="87" xfId="71" applyNumberFormat="1" applyFont="1" applyFill="1" applyBorder="1" applyAlignment="1" applyProtection="1">
      <alignment horizontal="right"/>
      <protection locked="0"/>
    </xf>
    <xf numFmtId="39" fontId="98" fillId="13" borderId="87" xfId="71" applyNumberFormat="1" applyFont="1" applyFill="1" applyBorder="1" applyAlignment="1" applyProtection="1">
      <alignment horizontal="right"/>
      <protection locked="0"/>
    </xf>
    <xf numFmtId="4" fontId="30" fillId="13" borderId="87" xfId="71" applyNumberFormat="1" applyFont="1" applyFill="1" applyBorder="1" applyAlignment="1" applyProtection="1">
      <alignment horizontal="right"/>
      <protection locked="0"/>
    </xf>
    <xf numFmtId="4" fontId="59" fillId="13" borderId="87" xfId="71" applyNumberFormat="1" applyFont="1" applyFill="1" applyBorder="1" applyAlignment="1" applyProtection="1">
      <alignment horizontal="right"/>
      <protection locked="0"/>
    </xf>
    <xf numFmtId="39" fontId="10" fillId="13" borderId="79" xfId="71" applyNumberFormat="1" applyFont="1" applyFill="1" applyBorder="1" applyAlignment="1" applyProtection="1">
      <alignment horizontal="right"/>
      <protection locked="0"/>
    </xf>
    <xf numFmtId="4" fontId="10" fillId="13" borderId="79" xfId="71" applyNumberFormat="1" applyFont="1" applyFill="1" applyBorder="1" applyAlignment="1" applyProtection="1">
      <alignment horizontal="right"/>
      <protection locked="0"/>
    </xf>
    <xf numFmtId="4" fontId="10" fillId="13" borderId="79" xfId="60" applyNumberFormat="1" applyFont="1" applyFill="1" applyBorder="1" applyAlignment="1">
      <alignment horizontal="right"/>
      <protection locked="0"/>
    </xf>
    <xf numFmtId="39" fontId="39" fillId="13" borderId="79" xfId="3" applyNumberFormat="1" applyFont="1" applyFill="1" applyBorder="1" applyAlignment="1" applyProtection="1">
      <alignment horizontal="right"/>
      <protection locked="0"/>
    </xf>
    <xf numFmtId="171" fontId="10" fillId="13" borderId="79" xfId="71" applyNumberFormat="1" applyFont="1" applyFill="1" applyBorder="1" applyAlignment="1" applyProtection="1">
      <alignment horizontal="right"/>
      <protection locked="0"/>
    </xf>
    <xf numFmtId="39" fontId="30" fillId="13" borderId="79" xfId="71" applyNumberFormat="1" applyFont="1" applyFill="1" applyBorder="1" applyAlignment="1" applyProtection="1">
      <alignment horizontal="right"/>
      <protection locked="0"/>
    </xf>
    <xf numFmtId="39" fontId="10" fillId="13" borderId="79" xfId="35" applyNumberFormat="1" applyFont="1" applyFill="1" applyBorder="1" applyAlignment="1">
      <alignment horizontal="right"/>
      <protection locked="0"/>
    </xf>
    <xf numFmtId="39" fontId="10" fillId="13" borderId="79" xfId="60" applyNumberFormat="1" applyFont="1" applyFill="1" applyBorder="1" applyAlignment="1" applyProtection="1">
      <alignment horizontal="right"/>
    </xf>
    <xf numFmtId="39" fontId="10" fillId="13" borderId="15" xfId="0" applyNumberFormat="1" applyFont="1" applyFill="1" applyBorder="1" applyAlignment="1">
      <alignment horizontal="right"/>
      <protection locked="0"/>
    </xf>
    <xf numFmtId="37" fontId="39" fillId="0" borderId="0" xfId="0" applyNumberFormat="1" applyFont="1" applyAlignment="1">
      <alignment horizontal="center"/>
      <protection locked="0"/>
    </xf>
    <xf numFmtId="0" fontId="39" fillId="0" borderId="0" xfId="0" applyFont="1" applyAlignment="1">
      <alignment horizontal="left"/>
      <protection locked="0"/>
    </xf>
    <xf numFmtId="0" fontId="68" fillId="0" borderId="0" xfId="0" applyFont="1" applyAlignment="1">
      <alignment horizontal="center"/>
      <protection locked="0"/>
    </xf>
    <xf numFmtId="170" fontId="68" fillId="0" borderId="0" xfId="0" applyNumberFormat="1" applyFont="1" applyAlignment="1">
      <alignment horizontal="right"/>
      <protection locked="0"/>
    </xf>
    <xf numFmtId="171" fontId="10" fillId="0" borderId="0" xfId="0" applyNumberFormat="1" applyFont="1" applyAlignment="1">
      <alignment horizontal="right"/>
      <protection locked="0"/>
    </xf>
    <xf numFmtId="171" fontId="39" fillId="0" borderId="0" xfId="0" applyNumberFormat="1" applyFont="1" applyAlignment="1">
      <alignment horizontal="right"/>
      <protection locked="0"/>
    </xf>
    <xf numFmtId="39" fontId="39" fillId="12" borderId="31" xfId="0" applyNumberFormat="1" applyFont="1" applyFill="1" applyBorder="1" applyAlignment="1" applyProtection="1">
      <alignment horizontal="right"/>
    </xf>
    <xf numFmtId="39" fontId="39" fillId="12" borderId="30" xfId="0" applyNumberFormat="1" applyFont="1" applyFill="1" applyBorder="1" applyAlignment="1">
      <alignment horizontal="right"/>
      <protection locked="0"/>
    </xf>
    <xf numFmtId="39" fontId="98" fillId="12" borderId="30" xfId="0" applyNumberFormat="1" applyFont="1" applyFill="1" applyBorder="1" applyAlignment="1">
      <alignment horizontal="right"/>
      <protection locked="0"/>
    </xf>
    <xf numFmtId="39" fontId="10" fillId="12" borderId="30" xfId="0" applyNumberFormat="1" applyFont="1" applyFill="1" applyBorder="1" applyAlignment="1">
      <alignment horizontal="right"/>
      <protection locked="0"/>
    </xf>
    <xf numFmtId="4" fontId="30" fillId="12" borderId="30" xfId="30" applyNumberFormat="1" applyFont="1" applyFill="1" applyBorder="1" applyAlignment="1" applyProtection="1">
      <alignment horizontal="right"/>
      <protection locked="0"/>
    </xf>
    <xf numFmtId="4" fontId="59" fillId="12" borderId="30" xfId="30" applyNumberFormat="1" applyFont="1" applyFill="1" applyBorder="1" applyAlignment="1" applyProtection="1">
      <alignment horizontal="right"/>
      <protection locked="0"/>
    </xf>
    <xf numFmtId="4" fontId="10" fillId="12" borderId="15" xfId="30" applyNumberFormat="1" applyFont="1" applyFill="1" applyBorder="1" applyAlignment="1" applyProtection="1">
      <alignment horizontal="right"/>
      <protection locked="0"/>
    </xf>
    <xf numFmtId="39" fontId="10" fillId="12" borderId="30" xfId="28" applyNumberFormat="1" applyFont="1" applyFill="1" applyBorder="1" applyAlignment="1">
      <alignment horizontal="right"/>
      <protection locked="0"/>
    </xf>
    <xf numFmtId="39" fontId="98" fillId="12" borderId="30" xfId="28" applyNumberFormat="1" applyFont="1" applyFill="1" applyBorder="1" applyAlignment="1">
      <alignment horizontal="right"/>
      <protection locked="0"/>
    </xf>
    <xf numFmtId="39" fontId="10" fillId="12" borderId="15" xfId="44" applyNumberFormat="1" applyFont="1" applyFill="1" applyBorder="1" applyAlignment="1">
      <alignment horizontal="right"/>
      <protection locked="0"/>
    </xf>
    <xf numFmtId="4" fontId="10" fillId="12" borderId="15" xfId="68" applyNumberFormat="1" applyFont="1" applyFill="1" applyBorder="1" applyAlignment="1">
      <alignment horizontal="right"/>
      <protection locked="0"/>
    </xf>
    <xf numFmtId="4" fontId="39" fillId="12" borderId="15" xfId="68" applyNumberFormat="1" applyFont="1" applyFill="1" applyBorder="1" applyAlignment="1">
      <alignment horizontal="right"/>
      <protection locked="0"/>
    </xf>
    <xf numFmtId="4" fontId="59" fillId="12" borderId="30" xfId="0" applyNumberFormat="1" applyFont="1" applyFill="1" applyBorder="1" applyAlignment="1">
      <alignment horizontal="right"/>
      <protection locked="0"/>
    </xf>
    <xf numFmtId="39" fontId="39" fillId="12" borderId="15" xfId="0" applyNumberFormat="1" applyFont="1" applyFill="1" applyBorder="1" applyAlignment="1">
      <alignment horizontal="right"/>
      <protection locked="0"/>
    </xf>
    <xf numFmtId="4" fontId="39" fillId="12" borderId="15" xfId="0" applyNumberFormat="1" applyFont="1" applyFill="1" applyBorder="1" applyAlignment="1">
      <alignment horizontal="right"/>
      <protection locked="0"/>
    </xf>
    <xf numFmtId="4" fontId="10" fillId="12" borderId="15" xfId="80" applyNumberFormat="1" applyFont="1" applyFill="1" applyBorder="1" applyAlignment="1">
      <alignment horizontal="right"/>
      <protection locked="0"/>
    </xf>
    <xf numFmtId="4" fontId="10" fillId="12" borderId="15" xfId="0" applyNumberFormat="1" applyFont="1" applyFill="1" applyBorder="1" applyAlignment="1">
      <alignment horizontal="right"/>
      <protection locked="0"/>
    </xf>
    <xf numFmtId="4" fontId="10" fillId="12" borderId="15" xfId="82" applyNumberFormat="1" applyFont="1" applyFill="1" applyBorder="1" applyAlignment="1">
      <alignment horizontal="right"/>
      <protection locked="0"/>
    </xf>
    <xf numFmtId="39" fontId="10" fillId="12" borderId="129" xfId="94" applyNumberFormat="1" applyFont="1" applyFill="1" applyBorder="1" applyAlignment="1" applyProtection="1">
      <alignment horizontal="right"/>
      <protection locked="0"/>
    </xf>
    <xf numFmtId="4" fontId="10" fillId="12" borderId="30" xfId="6" applyNumberFormat="1" applyFont="1" applyFill="1" applyBorder="1" applyAlignment="1" applyProtection="1">
      <alignment horizontal="right"/>
      <protection locked="0"/>
    </xf>
    <xf numFmtId="4" fontId="10" fillId="12" borderId="129" xfId="80" applyNumberFormat="1" applyFont="1" applyFill="1" applyBorder="1" applyAlignment="1">
      <alignment horizontal="right"/>
      <protection locked="0"/>
    </xf>
    <xf numFmtId="39" fontId="10" fillId="12" borderId="0" xfId="0" applyNumberFormat="1" applyFont="1" applyFill="1" applyAlignment="1">
      <alignment horizontal="right"/>
      <protection locked="0"/>
    </xf>
    <xf numFmtId="4" fontId="10" fillId="12" borderId="129" xfId="0" applyNumberFormat="1" applyFont="1" applyFill="1" applyBorder="1" applyAlignment="1">
      <alignment horizontal="right"/>
      <protection locked="0"/>
    </xf>
    <xf numFmtId="4" fontId="10" fillId="12" borderId="0" xfId="0" applyNumberFormat="1" applyFont="1" applyFill="1" applyAlignment="1">
      <alignment horizontal="right"/>
      <protection locked="0"/>
    </xf>
    <xf numFmtId="4" fontId="10" fillId="12" borderId="125" xfId="40" applyNumberFormat="1" applyFont="1" applyFill="1" applyBorder="1" applyAlignment="1">
      <alignment horizontal="right"/>
      <protection locked="0"/>
    </xf>
    <xf numFmtId="4" fontId="51" fillId="12" borderId="129" xfId="80" applyNumberFormat="1" applyFont="1" applyFill="1" applyBorder="1" applyAlignment="1" applyProtection="1"/>
    <xf numFmtId="2" fontId="10" fillId="12" borderId="125" xfId="0" applyNumberFormat="1" applyFont="1" applyFill="1" applyBorder="1" applyAlignment="1">
      <alignment horizontal="right"/>
      <protection locked="0"/>
    </xf>
    <xf numFmtId="4" fontId="51" fillId="12" borderId="129" xfId="0" applyNumberFormat="1" applyFont="1" applyFill="1" applyBorder="1" applyAlignment="1" applyProtection="1"/>
    <xf numFmtId="4" fontId="51" fillId="12" borderId="0" xfId="0" applyNumberFormat="1" applyFont="1" applyFill="1" applyAlignment="1" applyProtection="1"/>
    <xf numFmtId="4" fontId="39"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0" fillId="12" borderId="125" xfId="28" applyNumberFormat="1" applyFont="1" applyFill="1" applyBorder="1" applyAlignment="1">
      <alignment horizontal="right"/>
      <protection locked="0"/>
    </xf>
    <xf numFmtId="39" fontId="10"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9" fillId="13" borderId="29" xfId="0" applyNumberFormat="1" applyFont="1" applyFill="1" applyBorder="1" applyAlignment="1">
      <alignment horizontal="right"/>
      <protection locked="0"/>
    </xf>
    <xf numFmtId="4" fontId="39" fillId="13" borderId="129" xfId="0" applyNumberFormat="1" applyFont="1" applyFill="1" applyBorder="1" applyAlignment="1">
      <alignment horizontal="right"/>
      <protection locked="0"/>
    </xf>
    <xf numFmtId="4" fontId="10" fillId="13" borderId="129" xfId="0" applyNumberFormat="1" applyFont="1" applyFill="1" applyBorder="1" applyAlignment="1">
      <alignment horizontal="right"/>
      <protection locked="0"/>
    </xf>
    <xf numFmtId="39" fontId="10" fillId="13" borderId="129" xfId="0" applyNumberFormat="1" applyFont="1" applyFill="1" applyBorder="1" applyAlignment="1">
      <alignment horizontal="right"/>
      <protection locked="0"/>
    </xf>
    <xf numFmtId="4" fontId="10" fillId="13" borderId="129" xfId="80" applyNumberFormat="1" applyFont="1" applyFill="1" applyBorder="1" applyAlignment="1">
      <alignment horizontal="right"/>
      <protection locked="0"/>
    </xf>
    <xf numFmtId="4" fontId="10" fillId="13" borderId="0" xfId="0" applyNumberFormat="1" applyFont="1" applyFill="1" applyAlignment="1">
      <alignment horizontal="right"/>
      <protection locked="0"/>
    </xf>
    <xf numFmtId="4" fontId="10" fillId="13" borderId="129" xfId="99" applyNumberFormat="1" applyFont="1" applyFill="1" applyBorder="1" applyAlignment="1" applyProtection="1">
      <alignment horizontal="right"/>
      <protection locked="0"/>
    </xf>
    <xf numFmtId="4" fontId="27" fillId="13" borderId="129" xfId="0" applyNumberFormat="1" applyFont="1" applyFill="1" applyBorder="1" applyAlignment="1" applyProtection="1"/>
    <xf numFmtId="4" fontId="10" fillId="13" borderId="125" xfId="40" applyNumberFormat="1" applyFont="1" applyFill="1" applyBorder="1" applyAlignment="1">
      <alignment horizontal="right"/>
      <protection locked="0"/>
    </xf>
    <xf numFmtId="4" fontId="51" fillId="13" borderId="129" xfId="80" applyNumberFormat="1" applyFont="1" applyFill="1" applyBorder="1" applyAlignment="1" applyProtection="1"/>
    <xf numFmtId="4" fontId="11" fillId="13" borderId="129" xfId="0" applyNumberFormat="1" applyFont="1" applyFill="1" applyBorder="1" applyAlignment="1" applyProtection="1"/>
    <xf numFmtId="2" fontId="10" fillId="13" borderId="125" xfId="0" applyNumberFormat="1" applyFont="1" applyFill="1" applyBorder="1" applyAlignment="1">
      <alignment horizontal="right"/>
      <protection locked="0"/>
    </xf>
    <xf numFmtId="4" fontId="51" fillId="13" borderId="129" xfId="0" applyNumberFormat="1" applyFont="1" applyFill="1" applyBorder="1" applyAlignment="1" applyProtection="1"/>
    <xf numFmtId="4" fontId="51" fillId="13" borderId="0" xfId="0" applyNumberFormat="1" applyFont="1" applyFill="1" applyAlignment="1" applyProtection="1"/>
    <xf numFmtId="4" fontId="39"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0" fillId="13" borderId="125" xfId="28" applyNumberFormat="1" applyFont="1" applyFill="1" applyBorder="1" applyAlignment="1">
      <alignment horizontal="right"/>
      <protection locked="0"/>
    </xf>
    <xf numFmtId="39" fontId="10"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0" fillId="13" borderId="142" xfId="0" applyNumberFormat="1" applyFont="1" applyFill="1" applyBorder="1" applyAlignment="1">
      <alignment horizontal="right"/>
      <protection locked="0"/>
    </xf>
    <xf numFmtId="4" fontId="10" fillId="13" borderId="15" xfId="30" applyNumberFormat="1" applyFont="1" applyFill="1" applyBorder="1" applyAlignment="1" applyProtection="1">
      <alignment horizontal="right"/>
      <protection locked="0"/>
    </xf>
    <xf numFmtId="4" fontId="39" fillId="13" borderId="15" xfId="0" applyNumberFormat="1" applyFont="1" applyFill="1" applyBorder="1" applyAlignment="1">
      <alignment horizontal="right"/>
      <protection locked="0"/>
    </xf>
    <xf numFmtId="4" fontId="10" fillId="13" borderId="15" xfId="80" applyNumberFormat="1" applyFont="1" applyFill="1" applyBorder="1" applyAlignment="1">
      <alignment horizontal="right"/>
      <protection locked="0"/>
    </xf>
    <xf numFmtId="4" fontId="10" fillId="13" borderId="15" xfId="0" applyNumberFormat="1" applyFont="1" applyFill="1" applyBorder="1" applyAlignment="1">
      <alignment horizontal="right"/>
      <protection locked="0"/>
    </xf>
    <xf numFmtId="4" fontId="10" fillId="13" borderId="15" xfId="82" applyNumberFormat="1" applyFont="1" applyFill="1" applyBorder="1" applyAlignment="1">
      <alignment horizontal="right"/>
      <protection locked="0"/>
    </xf>
    <xf numFmtId="39" fontId="10" fillId="13" borderId="129" xfId="94" applyNumberFormat="1" applyFont="1" applyFill="1" applyBorder="1" applyAlignment="1" applyProtection="1">
      <alignment horizontal="right"/>
      <protection locked="0"/>
    </xf>
    <xf numFmtId="4" fontId="10" fillId="13" borderId="30" xfId="6" applyNumberFormat="1" applyFont="1" applyFill="1" applyBorder="1" applyAlignment="1" applyProtection="1">
      <alignment horizontal="right"/>
      <protection locked="0"/>
    </xf>
    <xf numFmtId="39" fontId="10" fillId="13" borderId="0" xfId="0" applyNumberFormat="1" applyFont="1" applyFill="1" applyAlignment="1">
      <alignment horizontal="right"/>
      <protection locked="0"/>
    </xf>
    <xf numFmtId="171" fontId="39" fillId="12" borderId="31" xfId="0" applyNumberFormat="1" applyFont="1" applyFill="1" applyBorder="1" applyAlignment="1">
      <alignment horizontal="right"/>
      <protection locked="0"/>
    </xf>
    <xf numFmtId="166" fontId="10" fillId="12" borderId="27" xfId="28" applyNumberFormat="1" applyFont="1" applyFill="1" applyBorder="1" applyAlignment="1" applyProtection="1">
      <alignment horizontal="center" vertical="center"/>
    </xf>
    <xf numFmtId="0" fontId="13" fillId="12" borderId="29" xfId="28" applyFill="1" applyBorder="1" applyAlignment="1" applyProtection="1">
      <alignment horizontal="left"/>
    </xf>
    <xf numFmtId="166" fontId="10" fillId="13" borderId="27" xfId="28" applyNumberFormat="1" applyFont="1" applyFill="1" applyBorder="1" applyAlignment="1" applyProtection="1">
      <alignment horizontal="center" vertical="center"/>
    </xf>
    <xf numFmtId="0" fontId="13" fillId="13" borderId="29" xfId="28" applyFill="1" applyBorder="1" applyAlignment="1" applyProtection="1">
      <alignment horizontal="left"/>
    </xf>
    <xf numFmtId="4" fontId="42" fillId="13" borderId="30" xfId="28" applyNumberFormat="1" applyFont="1" applyFill="1" applyBorder="1" applyAlignment="1" applyProtection="1">
      <alignment horizontal="right" vertical="center"/>
    </xf>
    <xf numFmtId="4" fontId="44" fillId="13" borderId="30" xfId="28" applyNumberFormat="1" applyFont="1" applyFill="1" applyBorder="1" applyAlignment="1" applyProtection="1">
      <alignment horizontal="right" vertical="center"/>
    </xf>
    <xf numFmtId="0" fontId="47" fillId="13" borderId="32" xfId="65" applyFont="1" applyFill="1" applyBorder="1" applyAlignment="1">
      <alignment horizontal="center" vertical="center" wrapText="1"/>
    </xf>
    <xf numFmtId="39" fontId="39" fillId="13" borderId="37" xfId="65" applyNumberFormat="1" applyFont="1" applyFill="1" applyBorder="1" applyAlignment="1" applyProtection="1">
      <alignment horizontal="right"/>
      <protection locked="0"/>
    </xf>
    <xf numFmtId="4" fontId="10" fillId="13" borderId="30" xfId="46" applyNumberFormat="1" applyFont="1" applyFill="1" applyBorder="1" applyAlignment="1">
      <alignment horizontal="right"/>
      <protection locked="0"/>
    </xf>
    <xf numFmtId="4" fontId="10" fillId="13" borderId="30" xfId="3" applyNumberFormat="1" applyFont="1" applyFill="1" applyBorder="1" applyAlignment="1" applyProtection="1">
      <alignment horizontal="right"/>
      <protection locked="0"/>
    </xf>
    <xf numFmtId="4" fontId="56" fillId="13" borderId="30" xfId="46" applyNumberFormat="1" applyFont="1" applyFill="1" applyBorder="1" applyAlignment="1">
      <alignment horizontal="right"/>
      <protection locked="0"/>
    </xf>
    <xf numFmtId="39" fontId="56" fillId="13" borderId="30" xfId="25" applyNumberFormat="1" applyFont="1" applyFill="1" applyBorder="1" applyAlignment="1" applyProtection="1">
      <alignment horizontal="right"/>
      <protection locked="0"/>
    </xf>
    <xf numFmtId="39" fontId="175" fillId="13" borderId="30" xfId="25" applyNumberFormat="1" applyFont="1" applyFill="1" applyBorder="1" applyAlignment="1" applyProtection="1">
      <alignment horizontal="right"/>
      <protection locked="0"/>
    </xf>
    <xf numFmtId="39" fontId="74" fillId="13" borderId="30" xfId="25" applyNumberFormat="1" applyFont="1" applyFill="1" applyBorder="1" applyAlignment="1" applyProtection="1">
      <alignment horizontal="right"/>
      <protection locked="0"/>
    </xf>
    <xf numFmtId="4" fontId="10" fillId="13" borderId="30" xfId="40" applyNumberFormat="1" applyFont="1" applyFill="1" applyBorder="1" applyAlignment="1">
      <alignment horizontal="right"/>
      <protection locked="0"/>
    </xf>
    <xf numFmtId="39" fontId="10" fillId="13" borderId="30" xfId="24" applyNumberFormat="1" applyFont="1" applyFill="1" applyBorder="1" applyAlignment="1" applyProtection="1">
      <alignment horizontal="right"/>
      <protection locked="0"/>
    </xf>
    <xf numFmtId="39" fontId="39" fillId="13" borderId="30" xfId="24" applyNumberFormat="1" applyFont="1" applyFill="1" applyBorder="1" applyAlignment="1" applyProtection="1">
      <alignment horizontal="right"/>
      <protection locked="0"/>
    </xf>
    <xf numFmtId="39" fontId="39" fillId="13" borderId="30" xfId="40" applyNumberFormat="1" applyFont="1" applyFill="1" applyBorder="1" applyAlignment="1">
      <alignment horizontal="right"/>
      <protection locked="0"/>
    </xf>
    <xf numFmtId="4" fontId="10" fillId="13" borderId="30" xfId="49" applyNumberFormat="1" applyFont="1" applyFill="1" applyBorder="1" applyAlignment="1" applyProtection="1">
      <alignment horizontal="right"/>
      <protection locked="0"/>
    </xf>
    <xf numFmtId="39" fontId="10" fillId="13" borderId="30" xfId="26" applyNumberFormat="1" applyFont="1" applyFill="1" applyBorder="1" applyAlignment="1" applyProtection="1">
      <alignment horizontal="right"/>
      <protection locked="0"/>
    </xf>
    <xf numFmtId="4" fontId="39" fillId="13" borderId="30" xfId="25" applyNumberFormat="1" applyFont="1" applyFill="1" applyBorder="1" applyAlignment="1" applyProtection="1">
      <alignment horizontal="right"/>
      <protection locked="0"/>
    </xf>
    <xf numFmtId="39" fontId="39" fillId="13" borderId="30" xfId="64" applyNumberFormat="1" applyFont="1" applyFill="1" applyBorder="1" applyAlignment="1" applyProtection="1">
      <alignment horizontal="right"/>
      <protection locked="0"/>
    </xf>
    <xf numFmtId="4" fontId="10" fillId="13" borderId="30" xfId="12" applyNumberFormat="1" applyFont="1" applyFill="1" applyBorder="1" applyAlignment="1">
      <alignment horizontal="right"/>
      <protection locked="0"/>
    </xf>
    <xf numFmtId="4" fontId="50" fillId="13" borderId="30" xfId="3" applyNumberFormat="1" applyFont="1" applyFill="1" applyBorder="1" applyAlignment="1" applyProtection="1">
      <alignment horizontal="right"/>
      <protection locked="0"/>
    </xf>
    <xf numFmtId="39" fontId="39" fillId="13" borderId="31" xfId="65" applyNumberFormat="1" applyFont="1" applyFill="1" applyBorder="1" applyAlignment="1">
      <alignment horizontal="right"/>
    </xf>
    <xf numFmtId="39" fontId="10" fillId="13" borderId="35" xfId="47" applyNumberFormat="1" applyFont="1" applyFill="1" applyBorder="1" applyAlignment="1">
      <alignment horizontal="right"/>
      <protection locked="0"/>
    </xf>
    <xf numFmtId="39" fontId="10" fillId="13" borderId="35" xfId="25" applyNumberFormat="1" applyFont="1" applyFill="1" applyBorder="1" applyAlignment="1" applyProtection="1">
      <alignment horizontal="right"/>
      <protection locked="0"/>
    </xf>
    <xf numFmtId="39" fontId="39" fillId="13" borderId="30" xfId="45" applyNumberFormat="1" applyFont="1" applyFill="1" applyBorder="1" applyAlignment="1">
      <alignment horizontal="right"/>
      <protection locked="0"/>
    </xf>
    <xf numFmtId="39" fontId="30" fillId="13" borderId="30" xfId="44" applyNumberFormat="1" applyFont="1" applyFill="1" applyBorder="1" applyAlignment="1">
      <alignment horizontal="right"/>
      <protection locked="0"/>
    </xf>
    <xf numFmtId="39" fontId="59" fillId="13" borderId="30" xfId="44" applyNumberFormat="1" applyFont="1" applyFill="1" applyBorder="1" applyAlignment="1">
      <alignment horizontal="right"/>
      <protection locked="0"/>
    </xf>
    <xf numFmtId="4" fontId="30" fillId="13" borderId="30" xfId="47" applyNumberFormat="1" applyFont="1" applyFill="1" applyBorder="1" applyAlignment="1">
      <alignment horizontal="right"/>
      <protection locked="0"/>
    </xf>
    <xf numFmtId="39" fontId="10" fillId="13" borderId="30" xfId="28" applyNumberFormat="1" applyFont="1" applyFill="1" applyBorder="1" applyAlignment="1">
      <alignment horizontal="right"/>
      <protection locked="0"/>
    </xf>
    <xf numFmtId="4" fontId="10" fillId="13" borderId="30" xfId="45" applyNumberFormat="1" applyFont="1" applyFill="1" applyBorder="1" applyAlignment="1">
      <alignment horizontal="right"/>
      <protection locked="0"/>
    </xf>
    <xf numFmtId="39" fontId="10" fillId="13" borderId="30" xfId="64" applyNumberFormat="1" applyFont="1" applyFill="1" applyBorder="1" applyAlignment="1" applyProtection="1">
      <alignment horizontal="right"/>
      <protection locked="0"/>
    </xf>
    <xf numFmtId="39" fontId="50" fillId="13" borderId="30" xfId="60" applyNumberFormat="1" applyFont="1" applyFill="1" applyBorder="1" applyAlignment="1">
      <alignment horizontal="right"/>
      <protection locked="0"/>
    </xf>
    <xf numFmtId="39" fontId="39" fillId="13" borderId="31" xfId="45" applyNumberFormat="1" applyFont="1" applyFill="1" applyBorder="1" applyAlignment="1">
      <alignment horizontal="right"/>
      <protection locked="0"/>
    </xf>
    <xf numFmtId="4" fontId="74" fillId="13" borderId="30" xfId="31" applyNumberFormat="1" applyFont="1" applyFill="1" applyBorder="1" applyAlignment="1" applyProtection="1">
      <alignment horizontal="right"/>
      <protection locked="0"/>
    </xf>
    <xf numFmtId="39" fontId="10" fillId="13" borderId="30" xfId="0" applyNumberFormat="1" applyFont="1" applyFill="1" applyBorder="1" applyAlignment="1">
      <alignment horizontal="right"/>
      <protection locked="0"/>
    </xf>
    <xf numFmtId="4" fontId="10" fillId="13" borderId="30" xfId="43" applyNumberFormat="1" applyFont="1" applyFill="1" applyBorder="1" applyAlignment="1" applyProtection="1">
      <alignment horizontal="right"/>
      <protection locked="0"/>
    </xf>
    <xf numFmtId="4" fontId="30" fillId="13" borderId="30" xfId="44" applyNumberFormat="1" applyFont="1" applyFill="1" applyBorder="1" applyAlignment="1">
      <alignment horizontal="right"/>
      <protection locked="0"/>
    </xf>
    <xf numFmtId="4" fontId="39" fillId="13" borderId="30" xfId="0" applyNumberFormat="1" applyFont="1" applyFill="1" applyBorder="1" applyAlignment="1">
      <alignment horizontal="right"/>
      <protection locked="0"/>
    </xf>
    <xf numFmtId="4" fontId="10" fillId="13" borderId="30" xfId="0" applyNumberFormat="1" applyFont="1" applyFill="1" applyBorder="1" applyAlignment="1">
      <alignment horizontal="right"/>
      <protection locked="0"/>
    </xf>
    <xf numFmtId="39" fontId="98" fillId="13" borderId="30" xfId="0" applyNumberFormat="1" applyFont="1" applyFill="1" applyBorder="1" applyAlignment="1">
      <alignment horizontal="right"/>
      <protection locked="0"/>
    </xf>
    <xf numFmtId="0" fontId="10" fillId="13" borderId="30" xfId="0" applyFont="1" applyFill="1" applyBorder="1" applyAlignment="1">
      <alignment horizontal="right" vertical="center"/>
      <protection locked="0"/>
    </xf>
    <xf numFmtId="39" fontId="10" fillId="13" borderId="30" xfId="48" applyNumberFormat="1" applyFont="1" applyFill="1" applyBorder="1" applyAlignment="1">
      <alignment horizontal="right"/>
      <protection locked="0"/>
    </xf>
    <xf numFmtId="39" fontId="56" fillId="13" borderId="30" xfId="40" applyNumberFormat="1" applyFont="1" applyFill="1" applyBorder="1" applyAlignment="1">
      <alignment horizontal="right"/>
      <protection locked="0"/>
    </xf>
    <xf numFmtId="39" fontId="10" fillId="13" borderId="30" xfId="0" applyNumberFormat="1" applyFont="1" applyFill="1" applyBorder="1" applyAlignment="1">
      <alignment horizontal="right" vertical="center"/>
      <protection locked="0"/>
    </xf>
    <xf numFmtId="4" fontId="33" fillId="13" borderId="0" xfId="45" applyNumberFormat="1" applyFill="1" applyAlignment="1">
      <alignment vertical="top"/>
      <protection locked="0"/>
    </xf>
    <xf numFmtId="4" fontId="39" fillId="13" borderId="30" xfId="45" applyNumberFormat="1" applyFont="1" applyFill="1" applyBorder="1" applyAlignment="1">
      <alignment horizontal="right"/>
      <protection locked="0"/>
    </xf>
    <xf numFmtId="4" fontId="50" fillId="13" borderId="30" xfId="45" applyNumberFormat="1" applyFont="1" applyFill="1" applyBorder="1" applyAlignment="1">
      <alignment horizontal="right"/>
      <protection locked="0"/>
    </xf>
    <xf numFmtId="39" fontId="39" fillId="13" borderId="30" xfId="28" applyNumberFormat="1" applyFont="1" applyFill="1" applyBorder="1" applyAlignment="1">
      <alignment horizontal="right"/>
      <protection locked="0"/>
    </xf>
    <xf numFmtId="39" fontId="39" fillId="13" borderId="30" xfId="0" applyNumberFormat="1" applyFont="1" applyFill="1" applyBorder="1" applyAlignment="1">
      <alignment horizontal="right"/>
      <protection locked="0"/>
    </xf>
    <xf numFmtId="4" fontId="30" fillId="13" borderId="30" xfId="0" applyNumberFormat="1" applyFont="1" applyFill="1" applyBorder="1" applyAlignment="1">
      <alignment horizontal="right"/>
      <protection locked="0"/>
    </xf>
    <xf numFmtId="39" fontId="10" fillId="13" borderId="30" xfId="43" applyNumberFormat="1" applyFont="1" applyFill="1" applyBorder="1" applyAlignment="1" applyProtection="1">
      <alignment horizontal="right"/>
      <protection locked="0"/>
    </xf>
    <xf numFmtId="4" fontId="74" fillId="13" borderId="30" xfId="0" applyNumberFormat="1" applyFont="1" applyFill="1" applyBorder="1" applyAlignment="1">
      <alignment horizontal="right"/>
      <protection locked="0"/>
    </xf>
    <xf numFmtId="0" fontId="47" fillId="13" borderId="31" xfId="28" applyFont="1" applyFill="1" applyBorder="1" applyAlignment="1" applyProtection="1">
      <alignment horizontal="center" vertical="center" wrapText="1"/>
    </xf>
    <xf numFmtId="39" fontId="10" fillId="13" borderId="30" xfId="45" applyNumberFormat="1" applyFont="1" applyFill="1" applyBorder="1" applyAlignment="1">
      <alignment horizontal="right"/>
      <protection locked="0"/>
    </xf>
    <xf numFmtId="39" fontId="10" fillId="13" borderId="30" xfId="42" applyNumberFormat="1" applyFont="1" applyFill="1" applyBorder="1" applyAlignment="1" applyProtection="1">
      <alignment horizontal="right"/>
      <protection locked="0"/>
    </xf>
    <xf numFmtId="39" fontId="56" fillId="13" borderId="30" xfId="0" applyNumberFormat="1" applyFont="1" applyFill="1" applyBorder="1" applyAlignment="1">
      <alignment horizontal="right"/>
      <protection locked="0"/>
    </xf>
    <xf numFmtId="4" fontId="39" fillId="13" borderId="30" xfId="43" applyNumberFormat="1" applyFont="1" applyFill="1" applyBorder="1" applyAlignment="1" applyProtection="1">
      <alignment horizontal="right"/>
      <protection locked="0"/>
    </xf>
    <xf numFmtId="166" fontId="10" fillId="13" borderId="135" xfId="28" applyNumberFormat="1" applyFont="1" applyFill="1" applyBorder="1" applyAlignment="1" applyProtection="1">
      <alignment horizontal="center" vertical="center"/>
    </xf>
    <xf numFmtId="4" fontId="42" fillId="13" borderId="125" xfId="28" applyNumberFormat="1" applyFont="1" applyFill="1" applyBorder="1" applyAlignment="1" applyProtection="1">
      <alignment horizontal="right" vertical="center"/>
    </xf>
    <xf numFmtId="4" fontId="44" fillId="13" borderId="125" xfId="28" applyNumberFormat="1" applyFont="1" applyFill="1" applyBorder="1" applyAlignment="1" applyProtection="1">
      <alignment horizontal="right" vertical="center"/>
    </xf>
    <xf numFmtId="4" fontId="30" fillId="13" borderId="125" xfId="47" applyNumberFormat="1" applyFont="1" applyFill="1" applyBorder="1" applyAlignment="1">
      <alignment horizontal="right"/>
      <protection locked="0"/>
    </xf>
    <xf numFmtId="39" fontId="10" fillId="13" borderId="125" xfId="40" applyNumberFormat="1" applyFont="1" applyFill="1" applyBorder="1" applyAlignment="1">
      <alignment horizontal="right"/>
      <protection locked="0"/>
    </xf>
    <xf numFmtId="4" fontId="39" fillId="13" borderId="125" xfId="45" applyNumberFormat="1" applyFont="1" applyFill="1" applyBorder="1" applyAlignment="1">
      <alignment horizontal="right"/>
      <protection locked="0"/>
    </xf>
    <xf numFmtId="4" fontId="10" fillId="13" borderId="125" xfId="45" applyNumberFormat="1" applyFont="1" applyFill="1" applyBorder="1" applyAlignment="1">
      <alignment horizontal="right"/>
      <protection locked="0"/>
    </xf>
    <xf numFmtId="4" fontId="39" fillId="13" borderId="125" xfId="53" applyNumberFormat="1" applyFont="1" applyFill="1" applyBorder="1" applyAlignment="1" applyProtection="1">
      <alignment horizontal="right"/>
      <protection locked="0"/>
    </xf>
    <xf numFmtId="4" fontId="197" fillId="13" borderId="125" xfId="53" applyNumberFormat="1" applyFont="1" applyFill="1" applyBorder="1" applyAlignment="1" applyProtection="1">
      <alignment horizontal="right"/>
      <protection locked="0"/>
    </xf>
    <xf numFmtId="4" fontId="10" fillId="13" borderId="125" xfId="53" applyNumberFormat="1" applyFont="1" applyFill="1" applyBorder="1" applyAlignment="1" applyProtection="1">
      <alignment horizontal="right"/>
      <protection locked="0"/>
    </xf>
    <xf numFmtId="39" fontId="39" fillId="13" borderId="125" xfId="49" applyNumberFormat="1" applyFont="1" applyFill="1" applyBorder="1" applyAlignment="1" applyProtection="1">
      <alignment horizontal="right"/>
      <protection locked="0"/>
    </xf>
    <xf numFmtId="4" fontId="39" fillId="13" borderId="129" xfId="94" applyNumberFormat="1" applyFont="1" applyFill="1" applyBorder="1" applyAlignment="1" applyProtection="1">
      <alignment horizontal="right"/>
      <protection locked="0"/>
    </xf>
    <xf numFmtId="4" fontId="10" fillId="13" borderId="0" xfId="80" applyNumberFormat="1" applyFont="1" applyFill="1" applyAlignment="1">
      <alignment horizontal="right"/>
      <protection locked="0"/>
    </xf>
    <xf numFmtId="4" fontId="10" fillId="13" borderId="129" xfId="82" applyNumberFormat="1" applyFont="1" applyFill="1" applyBorder="1" applyAlignment="1">
      <alignment horizontal="right"/>
      <protection locked="0"/>
    </xf>
    <xf numFmtId="4" fontId="39" fillId="13" borderId="125" xfId="49" applyNumberFormat="1" applyFont="1" applyFill="1" applyBorder="1" applyAlignment="1" applyProtection="1">
      <alignment horizontal="right"/>
      <protection locked="0"/>
    </xf>
    <xf numFmtId="39" fontId="10" fillId="13" borderId="125" xfId="49" applyNumberFormat="1" applyFont="1" applyFill="1" applyBorder="1" applyAlignment="1" applyProtection="1">
      <alignment horizontal="right"/>
      <protection locked="0"/>
    </xf>
    <xf numFmtId="4" fontId="10" fillId="13" borderId="125" xfId="78" applyNumberFormat="1" applyFont="1" applyFill="1" applyBorder="1" applyAlignment="1" applyProtection="1">
      <alignment horizontal="right"/>
      <protection locked="0"/>
    </xf>
    <xf numFmtId="4" fontId="10" fillId="13" borderId="125" xfId="49" applyNumberFormat="1" applyFont="1" applyFill="1" applyBorder="1" applyAlignment="1" applyProtection="1">
      <alignment horizontal="right"/>
      <protection locked="0"/>
    </xf>
    <xf numFmtId="39" fontId="10" fillId="13" borderId="125" xfId="48" applyNumberFormat="1" applyFont="1" applyFill="1" applyBorder="1" applyAlignment="1">
      <alignment horizontal="right"/>
      <protection locked="0"/>
    </xf>
    <xf numFmtId="4" fontId="10" fillId="13" borderId="125" xfId="94" applyNumberFormat="1" applyFont="1" applyFill="1" applyBorder="1" applyAlignment="1" applyProtection="1">
      <alignment horizontal="right"/>
      <protection locked="0"/>
    </xf>
    <xf numFmtId="4" fontId="30" fillId="13" borderId="125" xfId="94" applyNumberFormat="1" applyFont="1" applyFill="1" applyBorder="1" applyAlignment="1" applyProtection="1">
      <alignment horizontal="right"/>
      <protection locked="0"/>
    </xf>
    <xf numFmtId="4" fontId="30" fillId="13" borderId="125" xfId="38" applyNumberFormat="1" applyFont="1" applyFill="1" applyBorder="1" applyAlignment="1" applyProtection="1">
      <alignment horizontal="right"/>
      <protection locked="0"/>
    </xf>
    <xf numFmtId="39" fontId="10" fillId="13" borderId="125" xfId="78" applyNumberFormat="1" applyFont="1" applyFill="1" applyBorder="1" applyAlignment="1" applyProtection="1">
      <alignment horizontal="right"/>
      <protection locked="0"/>
    </xf>
    <xf numFmtId="4" fontId="30" fillId="13" borderId="125" xfId="39" applyNumberFormat="1" applyFont="1" applyFill="1" applyBorder="1" applyAlignment="1">
      <alignment horizontal="right"/>
      <protection locked="0"/>
    </xf>
    <xf numFmtId="39" fontId="39" fillId="13" borderId="125" xfId="94" applyNumberFormat="1" applyFont="1" applyFill="1" applyBorder="1" applyAlignment="1" applyProtection="1">
      <alignment horizontal="right"/>
      <protection locked="0"/>
    </xf>
    <xf numFmtId="39" fontId="10" fillId="13" borderId="125" xfId="94" applyNumberFormat="1" applyFont="1" applyFill="1" applyBorder="1" applyAlignment="1" applyProtection="1">
      <alignment horizontal="right"/>
      <protection locked="0"/>
    </xf>
    <xf numFmtId="39" fontId="30" fillId="13" borderId="125" xfId="94" applyNumberFormat="1" applyFont="1" applyFill="1" applyBorder="1" applyAlignment="1" applyProtection="1">
      <alignment horizontal="right"/>
      <protection locked="0"/>
    </xf>
    <xf numFmtId="4" fontId="39" fillId="13" borderId="125" xfId="40" applyNumberFormat="1" applyFont="1" applyFill="1" applyBorder="1" applyAlignment="1">
      <alignment horizontal="right"/>
      <protection locked="0"/>
    </xf>
    <xf numFmtId="4" fontId="59" fillId="13" borderId="125" xfId="47" applyNumberFormat="1" applyFont="1" applyFill="1" applyBorder="1" applyAlignment="1">
      <alignment horizontal="right"/>
      <protection locked="0"/>
    </xf>
    <xf numFmtId="4" fontId="74" fillId="13" borderId="125" xfId="53" applyNumberFormat="1" applyFont="1" applyFill="1" applyBorder="1" applyAlignment="1" applyProtection="1">
      <alignment horizontal="right"/>
      <protection locked="0"/>
    </xf>
    <xf numFmtId="4" fontId="30" fillId="13" borderId="125" xfId="53" applyNumberFormat="1" applyFont="1" applyFill="1" applyBorder="1" applyAlignment="1" applyProtection="1">
      <alignment horizontal="right"/>
      <protection locked="0"/>
    </xf>
    <xf numFmtId="39" fontId="30" fillId="13" borderId="125" xfId="49" applyNumberFormat="1" applyFont="1" applyFill="1" applyBorder="1" applyAlignment="1" applyProtection="1">
      <alignment horizontal="right"/>
      <protection locked="0"/>
    </xf>
    <xf numFmtId="39" fontId="39" fillId="13" borderId="125" xfId="40" applyNumberFormat="1" applyFont="1" applyFill="1" applyBorder="1" applyAlignment="1">
      <alignment horizontal="right"/>
      <protection locked="0"/>
    </xf>
    <xf numFmtId="39" fontId="98" fillId="13" borderId="125" xfId="94" applyNumberFormat="1" applyFont="1" applyFill="1" applyBorder="1" applyAlignment="1" applyProtection="1">
      <alignment horizontal="right"/>
      <protection locked="0"/>
    </xf>
    <xf numFmtId="4" fontId="10" fillId="13" borderId="125" xfId="32" applyNumberFormat="1" applyFont="1" applyFill="1" applyBorder="1" applyAlignment="1" applyProtection="1">
      <alignment horizontal="right"/>
      <protection locked="0"/>
    </xf>
    <xf numFmtId="39" fontId="10" fillId="13" borderId="125" xfId="3" applyNumberFormat="1" applyFont="1" applyFill="1" applyBorder="1" applyAlignment="1" applyProtection="1">
      <alignment horizontal="right"/>
      <protection locked="0"/>
    </xf>
    <xf numFmtId="39" fontId="50" fillId="13" borderId="125" xfId="3" applyNumberFormat="1" applyFont="1" applyFill="1" applyBorder="1" applyAlignment="1" applyProtection="1">
      <alignment horizontal="right"/>
      <protection locked="0"/>
    </xf>
    <xf numFmtId="39" fontId="30" fillId="13" borderId="125" xfId="40" applyNumberFormat="1" applyFont="1" applyFill="1" applyBorder="1" applyAlignment="1">
      <alignment horizontal="right"/>
      <protection locked="0"/>
    </xf>
    <xf numFmtId="39" fontId="39" fillId="13" borderId="125" xfId="96" applyNumberFormat="1" applyFont="1" applyFill="1" applyBorder="1" applyAlignment="1" applyProtection="1">
      <alignment horizontal="right"/>
      <protection locked="0"/>
    </xf>
    <xf numFmtId="39" fontId="98" fillId="13" borderId="125" xfId="96" applyNumberFormat="1" applyFont="1" applyFill="1" applyBorder="1" applyAlignment="1" applyProtection="1">
      <alignment horizontal="right"/>
      <protection locked="0"/>
    </xf>
    <xf numFmtId="39" fontId="10" fillId="13" borderId="125" xfId="96" applyNumberFormat="1" applyFont="1" applyFill="1" applyBorder="1" applyAlignment="1" applyProtection="1">
      <alignment horizontal="right"/>
      <protection locked="0"/>
    </xf>
    <xf numFmtId="39" fontId="45" fillId="13" borderId="125" xfId="94" applyNumberFormat="1" applyFont="1" applyFill="1" applyBorder="1" applyAlignment="1" applyProtection="1">
      <alignment horizontal="right"/>
      <protection locked="0"/>
    </xf>
    <xf numFmtId="39" fontId="39" fillId="13" borderId="125" xfId="83" applyNumberFormat="1" applyFont="1" applyFill="1" applyBorder="1" applyAlignment="1">
      <alignment horizontal="right"/>
    </xf>
    <xf numFmtId="4" fontId="30" fillId="13" borderId="125" xfId="8" applyNumberFormat="1" applyFont="1" applyFill="1" applyBorder="1" applyAlignment="1" applyProtection="1">
      <alignment horizontal="right"/>
      <protection locked="0"/>
    </xf>
    <xf numFmtId="4" fontId="30" fillId="13" borderId="125" xfId="63" applyNumberFormat="1" applyFont="1" applyFill="1" applyBorder="1" applyAlignment="1">
      <alignment horizontal="right"/>
    </xf>
    <xf numFmtId="39" fontId="10" fillId="13" borderId="125" xfId="83" applyNumberFormat="1" applyFont="1" applyFill="1" applyBorder="1" applyAlignment="1">
      <alignment horizontal="right"/>
    </xf>
    <xf numFmtId="4" fontId="10" fillId="13" borderId="129" xfId="94" applyNumberFormat="1" applyFont="1" applyFill="1" applyBorder="1" applyAlignment="1" applyProtection="1">
      <alignment horizontal="right"/>
      <protection locked="0"/>
    </xf>
    <xf numFmtId="39" fontId="39" fillId="12" borderId="31" xfId="55" applyNumberFormat="1" applyFont="1" applyFill="1" applyBorder="1" applyAlignment="1" applyProtection="1">
      <alignment horizontal="right"/>
      <protection locked="0"/>
    </xf>
    <xf numFmtId="0" fontId="47" fillId="12" borderId="32" xfId="55" applyFont="1" applyFill="1" applyBorder="1" applyAlignment="1">
      <alignment horizontal="center" vertical="center" wrapText="1"/>
    </xf>
    <xf numFmtId="39" fontId="39" fillId="12" borderId="0" xfId="55" applyNumberFormat="1" applyFont="1" applyFill="1" applyAlignment="1" applyProtection="1">
      <alignment horizontal="right"/>
      <protection locked="0"/>
    </xf>
    <xf numFmtId="39" fontId="39" fillId="12" borderId="30" xfId="55" applyNumberFormat="1" applyFont="1" applyFill="1" applyBorder="1" applyAlignment="1" applyProtection="1">
      <alignment horizontal="right"/>
      <protection locked="0"/>
    </xf>
    <xf numFmtId="4" fontId="30" fillId="12" borderId="30" xfId="44" applyNumberFormat="1" applyFont="1" applyFill="1" applyBorder="1" applyAlignment="1">
      <alignment horizontal="right"/>
      <protection locked="0"/>
    </xf>
    <xf numFmtId="4" fontId="10" fillId="12" borderId="30" xfId="39" applyNumberFormat="1" applyFont="1" applyFill="1" applyBorder="1" applyAlignment="1" applyProtection="1">
      <alignment horizontal="right"/>
    </xf>
    <xf numFmtId="39" fontId="10" fillId="12" borderId="30" xfId="3" applyNumberFormat="1" applyFont="1" applyFill="1" applyBorder="1" applyAlignment="1" applyProtection="1">
      <alignment horizontal="right"/>
      <protection locked="0"/>
    </xf>
    <xf numFmtId="4" fontId="10" fillId="12" borderId="30" xfId="0" applyNumberFormat="1" applyFont="1" applyFill="1" applyBorder="1" applyAlignment="1">
      <alignment horizontal="right"/>
      <protection locked="0"/>
    </xf>
    <xf numFmtId="4" fontId="30" fillId="12" borderId="30" xfId="0" applyNumberFormat="1" applyFont="1" applyFill="1" applyBorder="1" applyAlignment="1">
      <alignment horizontal="right"/>
      <protection locked="0"/>
    </xf>
    <xf numFmtId="4" fontId="30" fillId="12" borderId="30" xfId="38" applyNumberFormat="1" applyFont="1" applyFill="1" applyBorder="1" applyAlignment="1" applyProtection="1">
      <alignment horizontal="right"/>
      <protection locked="0"/>
    </xf>
    <xf numFmtId="4" fontId="39" fillId="12" borderId="30" xfId="3" applyNumberFormat="1" applyFont="1" applyFill="1" applyBorder="1" applyAlignment="1" applyProtection="1">
      <alignment horizontal="right"/>
      <protection locked="0"/>
    </xf>
    <xf numFmtId="4" fontId="10" fillId="12" borderId="30" xfId="3" applyNumberFormat="1" applyFont="1" applyFill="1" applyBorder="1" applyAlignment="1" applyProtection="1">
      <alignment horizontal="right"/>
      <protection locked="0"/>
    </xf>
    <xf numFmtId="4" fontId="98" fillId="12" borderId="30" xfId="3" applyNumberFormat="1" applyFont="1" applyFill="1" applyBorder="1" applyAlignment="1" applyProtection="1">
      <alignment horizontal="right"/>
      <protection locked="0"/>
    </xf>
    <xf numFmtId="39" fontId="39" fillId="12" borderId="30" xfId="3" applyNumberFormat="1" applyFont="1" applyFill="1" applyBorder="1" applyAlignment="1" applyProtection="1">
      <alignment horizontal="right"/>
      <protection locked="0"/>
    </xf>
    <xf numFmtId="39" fontId="30" fillId="12" borderId="30" xfId="0" applyNumberFormat="1" applyFont="1" applyFill="1" applyBorder="1" applyAlignment="1">
      <alignment horizontal="right"/>
      <protection locked="0"/>
    </xf>
    <xf numFmtId="39" fontId="50" fillId="12" borderId="30" xfId="0" applyNumberFormat="1" applyFont="1" applyFill="1" applyBorder="1" applyAlignment="1">
      <alignment horizontal="right"/>
      <protection locked="0"/>
    </xf>
    <xf numFmtId="4" fontId="10" fillId="12" borderId="30" xfId="60" applyNumberFormat="1" applyFont="1" applyFill="1" applyBorder="1" applyAlignment="1">
      <alignment horizontal="right"/>
      <protection locked="0"/>
    </xf>
    <xf numFmtId="4" fontId="39" fillId="12" borderId="30" xfId="3" applyNumberFormat="1" applyFont="1" applyFill="1" applyBorder="1" applyAlignment="1">
      <alignment horizontal="right"/>
    </xf>
    <xf numFmtId="4" fontId="56" fillId="12" borderId="30" xfId="3" applyNumberFormat="1" applyFont="1" applyFill="1" applyBorder="1" applyAlignment="1" applyProtection="1">
      <alignment horizontal="right"/>
      <protection locked="0"/>
    </xf>
    <xf numFmtId="39" fontId="10" fillId="12" borderId="30" xfId="43" applyNumberFormat="1" applyFont="1" applyFill="1" applyBorder="1" applyAlignment="1" applyProtection="1">
      <alignment horizontal="right"/>
      <protection locked="0"/>
    </xf>
    <xf numFmtId="39" fontId="10" fillId="12" borderId="30" xfId="43" applyNumberFormat="1" applyFont="1" applyFill="1" applyBorder="1" applyAlignment="1" applyProtection="1">
      <alignment horizontal="right" vertical="center"/>
      <protection locked="0"/>
    </xf>
    <xf numFmtId="4" fontId="33" fillId="12" borderId="0" xfId="45" applyNumberFormat="1" applyFill="1" applyAlignment="1">
      <alignment vertical="top"/>
      <protection locked="0"/>
    </xf>
    <xf numFmtId="4" fontId="10" fillId="12" borderId="30" xfId="45" applyNumberFormat="1" applyFont="1" applyFill="1" applyBorder="1" applyAlignment="1">
      <alignment horizontal="right"/>
      <protection locked="0"/>
    </xf>
    <xf numFmtId="4" fontId="10" fillId="12" borderId="30" xfId="24" applyNumberFormat="1" applyFont="1" applyFill="1" applyBorder="1" applyAlignment="1" applyProtection="1">
      <alignment horizontal="right"/>
      <protection locked="0"/>
    </xf>
    <xf numFmtId="4" fontId="30" fillId="12" borderId="30" xfId="24" applyNumberFormat="1" applyFont="1" applyFill="1" applyBorder="1" applyAlignment="1" applyProtection="1">
      <alignment horizontal="right"/>
      <protection locked="0"/>
    </xf>
    <xf numFmtId="39" fontId="10" fillId="12" borderId="30" xfId="27" applyNumberFormat="1" applyFont="1" applyFill="1" applyBorder="1" applyAlignment="1">
      <alignment horizontal="right"/>
      <protection locked="0"/>
    </xf>
    <xf numFmtId="39" fontId="50" fillId="12" borderId="30" xfId="52" applyNumberFormat="1" applyFont="1" applyFill="1" applyBorder="1" applyAlignment="1" applyProtection="1">
      <alignment horizontal="right"/>
      <protection locked="0"/>
    </xf>
    <xf numFmtId="4" fontId="30" fillId="12" borderId="30" xfId="32" applyNumberFormat="1" applyFont="1" applyFill="1" applyBorder="1" applyAlignment="1" applyProtection="1">
      <alignment horizontal="right"/>
      <protection locked="0"/>
    </xf>
    <xf numFmtId="4" fontId="111" fillId="12" borderId="30" xfId="32" applyNumberFormat="1" applyFont="1" applyFill="1" applyBorder="1" applyAlignment="1" applyProtection="1">
      <alignment horizontal="right" vertical="center"/>
      <protection locked="0"/>
    </xf>
    <xf numFmtId="4" fontId="120" fillId="12" borderId="30" xfId="32" applyNumberFormat="1" applyFont="1" applyFill="1" applyBorder="1" applyAlignment="1" applyProtection="1">
      <alignment horizontal="right" vertical="center"/>
      <protection locked="0"/>
    </xf>
    <xf numFmtId="39" fontId="42" fillId="12" borderId="30" xfId="28" applyNumberFormat="1" applyFont="1" applyFill="1" applyBorder="1" applyAlignment="1" applyProtection="1">
      <alignment horizontal="right"/>
    </xf>
    <xf numFmtId="39" fontId="44" fillId="12" borderId="30" xfId="28" applyNumberFormat="1" applyFont="1" applyFill="1" applyBorder="1" applyAlignment="1" applyProtection="1">
      <alignment horizontal="right" vertical="center"/>
    </xf>
    <xf numFmtId="39" fontId="39" fillId="12" borderId="31" xfId="24" applyNumberFormat="1" applyFont="1" applyFill="1" applyBorder="1" applyAlignment="1" applyProtection="1">
      <alignment horizontal="right"/>
      <protection locked="0"/>
    </xf>
    <xf numFmtId="0" fontId="47" fillId="12" borderId="32" xfId="24" applyFont="1" applyFill="1" applyBorder="1" applyAlignment="1">
      <alignment horizontal="center" vertical="center" wrapText="1"/>
    </xf>
    <xf numFmtId="39" fontId="39" fillId="12" borderId="0" xfId="24" applyNumberFormat="1" applyFont="1" applyFill="1" applyAlignment="1" applyProtection="1">
      <alignment horizontal="right"/>
      <protection locked="0"/>
    </xf>
    <xf numFmtId="39" fontId="39" fillId="12" borderId="30" xfId="24" applyNumberFormat="1" applyFont="1" applyFill="1" applyBorder="1" applyAlignment="1" applyProtection="1">
      <alignment horizontal="right"/>
      <protection locked="0"/>
    </xf>
    <xf numFmtId="39" fontId="10" fillId="12" borderId="30" xfId="24" applyNumberFormat="1" applyFont="1" applyFill="1" applyBorder="1" applyAlignment="1" applyProtection="1">
      <alignment horizontal="right"/>
      <protection locked="0"/>
    </xf>
    <xf numFmtId="4" fontId="74" fillId="12" borderId="30" xfId="31" applyNumberFormat="1" applyFont="1" applyFill="1" applyBorder="1" applyAlignment="1" applyProtection="1">
      <alignment horizontal="right"/>
      <protection locked="0"/>
    </xf>
    <xf numFmtId="39" fontId="39" fillId="12" borderId="31" xfId="3" applyNumberFormat="1" applyFont="1" applyFill="1" applyBorder="1" applyAlignment="1">
      <alignment horizontal="right"/>
    </xf>
    <xf numFmtId="0" fontId="47" fillId="12" borderId="32" xfId="3" applyFont="1" applyFill="1" applyBorder="1" applyAlignment="1">
      <alignment horizontal="center" vertical="center" wrapText="1"/>
    </xf>
    <xf numFmtId="39" fontId="39" fillId="12" borderId="0" xfId="48" applyNumberFormat="1" applyFont="1" applyFill="1" applyAlignment="1">
      <alignment horizontal="right"/>
      <protection locked="0"/>
    </xf>
    <xf numFmtId="39" fontId="39" fillId="12" borderId="30" xfId="3" applyNumberFormat="1" applyFont="1" applyFill="1" applyBorder="1" applyAlignment="1">
      <alignment horizontal="right"/>
    </xf>
    <xf numFmtId="4" fontId="30" fillId="12" borderId="30" xfId="52" applyNumberFormat="1" applyFont="1" applyFill="1" applyBorder="1" applyAlignment="1" applyProtection="1">
      <alignment horizontal="right"/>
      <protection locked="0"/>
    </xf>
    <xf numFmtId="39" fontId="10" fillId="12" borderId="30" xfId="52" applyNumberFormat="1" applyFont="1" applyFill="1" applyBorder="1" applyAlignment="1" applyProtection="1">
      <alignment horizontal="right"/>
      <protection locked="0"/>
    </xf>
    <xf numFmtId="39" fontId="10" fillId="12" borderId="30" xfId="27" applyNumberFormat="1" applyFont="1" applyFill="1" applyBorder="1" applyAlignment="1" applyProtection="1">
      <alignment horizontal="right"/>
    </xf>
    <xf numFmtId="39" fontId="39" fillId="12" borderId="30" xfId="32" applyNumberFormat="1" applyFont="1" applyFill="1" applyBorder="1" applyAlignment="1" applyProtection="1">
      <alignment horizontal="right"/>
      <protection locked="0"/>
    </xf>
    <xf numFmtId="4" fontId="30" fillId="12" borderId="30" xfId="53" applyNumberFormat="1" applyFont="1" applyFill="1" applyBorder="1" applyAlignment="1" applyProtection="1">
      <alignment horizontal="right"/>
      <protection locked="0"/>
    </xf>
    <xf numFmtId="4" fontId="10" fillId="12" borderId="30" xfId="53" applyNumberFormat="1" applyFont="1" applyFill="1" applyBorder="1" applyAlignment="1" applyProtection="1">
      <alignment horizontal="right"/>
      <protection locked="0"/>
    </xf>
    <xf numFmtId="4" fontId="10" fillId="12" borderId="30" xfId="52" applyNumberFormat="1" applyFont="1" applyFill="1" applyBorder="1" applyAlignment="1" applyProtection="1">
      <alignment horizontal="right"/>
      <protection locked="0"/>
    </xf>
    <xf numFmtId="39" fontId="10" fillId="12" borderId="30" xfId="54" applyNumberFormat="1" applyFont="1" applyFill="1" applyBorder="1" applyAlignment="1" applyProtection="1">
      <alignment horizontal="right"/>
      <protection locked="0"/>
    </xf>
    <xf numFmtId="39" fontId="39" fillId="12" borderId="31" xfId="29" applyNumberFormat="1" applyFont="1" applyFill="1" applyBorder="1" applyAlignment="1">
      <alignment horizontal="right"/>
    </xf>
    <xf numFmtId="0" fontId="47" fillId="12" borderId="32" xfId="29" applyFont="1" applyFill="1" applyBorder="1" applyAlignment="1">
      <alignment horizontal="center" vertical="center" wrapText="1"/>
    </xf>
    <xf numFmtId="39" fontId="39" fillId="12" borderId="37" xfId="29" applyNumberFormat="1" applyFont="1" applyFill="1" applyBorder="1" applyAlignment="1" applyProtection="1">
      <alignment horizontal="right"/>
      <protection locked="0"/>
    </xf>
    <xf numFmtId="4" fontId="30" fillId="12" borderId="30" xfId="47" applyNumberFormat="1" applyFont="1" applyFill="1" applyBorder="1" applyAlignment="1">
      <alignment horizontal="right"/>
      <protection locked="0"/>
    </xf>
    <xf numFmtId="4" fontId="30" fillId="12" borderId="30" xfId="3" applyNumberFormat="1" applyFont="1" applyFill="1" applyBorder="1" applyAlignment="1" applyProtection="1">
      <alignment horizontal="right"/>
      <protection locked="0"/>
    </xf>
    <xf numFmtId="2" fontId="30" fillId="12" borderId="30" xfId="3" applyNumberFormat="1" applyFont="1" applyFill="1" applyBorder="1" applyAlignment="1" applyProtection="1">
      <alignment horizontal="right"/>
      <protection locked="0"/>
    </xf>
    <xf numFmtId="39" fontId="10" fillId="12" borderId="35" xfId="47" applyNumberFormat="1" applyFont="1" applyFill="1" applyBorder="1" applyAlignment="1">
      <alignment horizontal="right"/>
      <protection locked="0"/>
    </xf>
    <xf numFmtId="39" fontId="39" fillId="12" borderId="30" xfId="49" applyNumberFormat="1" applyFont="1" applyFill="1" applyBorder="1" applyAlignment="1" applyProtection="1">
      <alignment horizontal="right"/>
      <protection locked="0"/>
    </xf>
    <xf numFmtId="39" fontId="10" fillId="12" borderId="30" xfId="50" applyNumberFormat="1" applyFont="1" applyFill="1" applyBorder="1" applyAlignment="1" applyProtection="1">
      <alignment horizontal="right"/>
      <protection locked="0"/>
    </xf>
    <xf numFmtId="4" fontId="50" fillId="12" borderId="30" xfId="3" applyNumberFormat="1" applyFont="1" applyFill="1" applyBorder="1" applyAlignment="1" applyProtection="1">
      <alignment horizontal="right"/>
      <protection locked="0"/>
    </xf>
    <xf numFmtId="39" fontId="39" fillId="12" borderId="31" xfId="25" applyNumberFormat="1" applyFont="1" applyFill="1" applyBorder="1" applyAlignment="1">
      <alignment horizontal="right"/>
    </xf>
    <xf numFmtId="0" fontId="47" fillId="12" borderId="32" xfId="25" applyFont="1" applyFill="1" applyBorder="1" applyAlignment="1">
      <alignment horizontal="center" vertical="center" wrapText="1"/>
    </xf>
    <xf numFmtId="39" fontId="10" fillId="12" borderId="30" xfId="6" applyNumberFormat="1" applyFont="1" applyFill="1" applyBorder="1" applyAlignment="1" applyProtection="1">
      <alignment horizontal="right"/>
      <protection locked="0"/>
    </xf>
    <xf numFmtId="39" fontId="39" fillId="13" borderId="31" xfId="25" applyNumberFormat="1" applyFont="1" applyFill="1" applyBorder="1" applyAlignment="1">
      <alignment horizontal="right"/>
    </xf>
    <xf numFmtId="0" fontId="47" fillId="13" borderId="32" xfId="25" applyFont="1" applyFill="1" applyBorder="1" applyAlignment="1">
      <alignment horizontal="center" vertical="center" wrapText="1"/>
    </xf>
    <xf numFmtId="39" fontId="39" fillId="13" borderId="30" xfId="3" applyNumberFormat="1" applyFont="1" applyFill="1" applyBorder="1" applyAlignment="1" applyProtection="1">
      <alignment horizontal="right"/>
      <protection locked="0"/>
    </xf>
    <xf numFmtId="39" fontId="10" fillId="13" borderId="30" xfId="3" applyNumberFormat="1" applyFont="1" applyFill="1" applyBorder="1" applyAlignment="1" applyProtection="1">
      <alignment horizontal="right"/>
      <protection locked="0"/>
    </xf>
    <xf numFmtId="4" fontId="30" fillId="13" borderId="30" xfId="30" applyNumberFormat="1" applyFont="1" applyFill="1" applyBorder="1" applyAlignment="1" applyProtection="1">
      <alignment horizontal="right"/>
      <protection locked="0"/>
    </xf>
    <xf numFmtId="39" fontId="10" fillId="13" borderId="30" xfId="6" applyNumberFormat="1" applyFont="1" applyFill="1" applyBorder="1" applyAlignment="1" applyProtection="1">
      <alignment horizontal="right"/>
      <protection locked="0"/>
    </xf>
    <xf numFmtId="0" fontId="10" fillId="13" borderId="24" xfId="23" applyFont="1" applyFill="1" applyBorder="1" applyAlignment="1" applyProtection="1">
      <alignment horizontal="center" vertical="center" wrapText="1"/>
    </xf>
    <xf numFmtId="166" fontId="10" fillId="13" borderId="27" xfId="23" applyNumberFormat="1" applyFont="1" applyFill="1" applyBorder="1" applyAlignment="1" applyProtection="1">
      <alignment horizontal="center" vertical="center"/>
    </xf>
    <xf numFmtId="0" fontId="13" fillId="13" borderId="29" xfId="23" applyFill="1" applyBorder="1" applyAlignment="1" applyProtection="1">
      <alignment horizontal="left"/>
    </xf>
    <xf numFmtId="39" fontId="42" fillId="13" borderId="30" xfId="23" applyNumberFormat="1" applyFont="1" applyFill="1" applyBorder="1" applyAlignment="1" applyProtection="1">
      <alignment horizontal="right" vertical="center"/>
    </xf>
    <xf numFmtId="39" fontId="44" fillId="13" borderId="30" xfId="23" applyNumberFormat="1" applyFont="1" applyFill="1" applyBorder="1" applyAlignment="1" applyProtection="1">
      <alignment horizontal="right" vertical="center"/>
    </xf>
    <xf numFmtId="39" fontId="56" fillId="13" borderId="30" xfId="3" applyNumberFormat="1" applyFont="1" applyFill="1" applyBorder="1" applyAlignment="1" applyProtection="1">
      <alignment horizontal="right"/>
      <protection locked="0"/>
    </xf>
    <xf numFmtId="39" fontId="10" fillId="13" borderId="30" xfId="23" applyNumberFormat="1" applyFont="1" applyFill="1" applyBorder="1" applyAlignment="1">
      <alignment horizontal="right"/>
      <protection locked="0"/>
    </xf>
    <xf numFmtId="4" fontId="10" fillId="13" borderId="30" xfId="23" applyNumberFormat="1" applyFont="1" applyFill="1" applyBorder="1" applyAlignment="1">
      <alignment horizontal="right"/>
      <protection locked="0"/>
    </xf>
    <xf numFmtId="0" fontId="47" fillId="13" borderId="32" xfId="52" applyFont="1" applyFill="1" applyBorder="1" applyAlignment="1">
      <alignment horizontal="center" vertical="center" wrapText="1"/>
    </xf>
    <xf numFmtId="4" fontId="39" fillId="13" borderId="0" xfId="52" applyNumberFormat="1" applyFont="1" applyFill="1" applyAlignment="1">
      <alignment horizontal="right"/>
    </xf>
    <xf numFmtId="4" fontId="10" fillId="13" borderId="30" xfId="24" applyNumberFormat="1" applyFont="1" applyFill="1" applyBorder="1" applyAlignment="1" applyProtection="1">
      <alignment horizontal="right"/>
      <protection locked="0"/>
    </xf>
    <xf numFmtId="4" fontId="30" fillId="13" borderId="30" xfId="57" applyNumberFormat="1" applyFont="1" applyFill="1" applyBorder="1" applyAlignment="1" applyProtection="1">
      <alignment horizontal="right"/>
      <protection locked="0"/>
    </xf>
    <xf numFmtId="4" fontId="30" fillId="13" borderId="30" xfId="24" applyNumberFormat="1" applyFont="1" applyFill="1" applyBorder="1" applyAlignment="1" applyProtection="1">
      <alignment horizontal="right"/>
      <protection locked="0"/>
    </xf>
    <xf numFmtId="4" fontId="30" fillId="13" borderId="30" xfId="38" applyNumberFormat="1" applyFont="1" applyFill="1" applyBorder="1" applyAlignment="1" applyProtection="1">
      <alignment horizontal="right"/>
      <protection locked="0"/>
    </xf>
    <xf numFmtId="39" fontId="39" fillId="13" borderId="30" xfId="52" applyNumberFormat="1" applyFont="1" applyFill="1" applyBorder="1" applyAlignment="1" applyProtection="1">
      <alignment horizontal="right"/>
      <protection locked="0"/>
    </xf>
    <xf numFmtId="39" fontId="10" fillId="13" borderId="30" xfId="52" applyNumberFormat="1" applyFont="1" applyFill="1" applyBorder="1" applyAlignment="1">
      <alignment horizontal="right"/>
    </xf>
    <xf numFmtId="39" fontId="30" fillId="13" borderId="30" xfId="49" applyNumberFormat="1" applyFont="1" applyFill="1" applyBorder="1" applyAlignment="1" applyProtection="1">
      <alignment horizontal="right"/>
      <protection locked="0"/>
    </xf>
    <xf numFmtId="39" fontId="10" fillId="13" borderId="30" xfId="27" applyNumberFormat="1" applyFont="1" applyFill="1" applyBorder="1" applyAlignment="1">
      <alignment horizontal="right"/>
      <protection locked="0"/>
    </xf>
    <xf numFmtId="39" fontId="50" fillId="13" borderId="30" xfId="52" applyNumberFormat="1" applyFont="1" applyFill="1" applyBorder="1" applyAlignment="1" applyProtection="1">
      <alignment horizontal="right"/>
      <protection locked="0"/>
    </xf>
    <xf numFmtId="39" fontId="39" fillId="13" borderId="31" xfId="52" applyNumberFormat="1" applyFont="1" applyFill="1" applyBorder="1" applyAlignment="1">
      <alignment horizontal="right"/>
    </xf>
    <xf numFmtId="167" fontId="10" fillId="0" borderId="127" xfId="0" applyNumberFormat="1" applyFont="1" applyBorder="1" applyAlignment="1">
      <alignment horizontal="right"/>
      <protection locked="0"/>
    </xf>
    <xf numFmtId="4" fontId="10" fillId="12" borderId="129" xfId="30" applyNumberFormat="1" applyFont="1" applyFill="1" applyBorder="1" applyAlignment="1" applyProtection="1">
      <alignment horizontal="right"/>
      <protection locked="0"/>
    </xf>
    <xf numFmtId="39" fontId="10" fillId="0" borderId="123" xfId="0" applyNumberFormat="1" applyFont="1" applyBorder="1" applyAlignment="1">
      <alignment horizontal="center"/>
      <protection locked="0"/>
    </xf>
    <xf numFmtId="4" fontId="10" fillId="12" borderId="129" xfId="31" applyNumberFormat="1" applyFont="1" applyFill="1" applyBorder="1" applyAlignment="1" applyProtection="1">
      <alignment horizontal="right"/>
      <protection locked="0"/>
    </xf>
    <xf numFmtId="39" fontId="10" fillId="0" borderId="129" xfId="0" applyNumberFormat="1" applyFont="1" applyBorder="1" applyAlignment="1">
      <alignment horizontal="center" wrapText="1"/>
      <protection locked="0"/>
    </xf>
    <xf numFmtId="0" fontId="10" fillId="0" borderId="0" xfId="100" applyFont="1" applyAlignment="1">
      <alignment vertical="center"/>
    </xf>
    <xf numFmtId="0" fontId="29" fillId="0" borderId="0" xfId="100" applyFont="1" applyAlignment="1">
      <alignment horizontal="centerContinuous" vertical="center"/>
    </xf>
    <xf numFmtId="0" fontId="312" fillId="0" borderId="0" xfId="100" applyFont="1" applyAlignment="1">
      <alignment horizontal="centerContinuous" vertical="center"/>
    </xf>
    <xf numFmtId="0" fontId="312" fillId="0" borderId="0" xfId="100" applyFont="1" applyAlignment="1">
      <alignment horizontal="right" vertical="center"/>
    </xf>
    <xf numFmtId="0" fontId="12" fillId="0" borderId="0" xfId="100" applyAlignment="1">
      <alignment vertical="center"/>
    </xf>
    <xf numFmtId="0" fontId="14" fillId="0" borderId="0" xfId="20" applyFont="1"/>
    <xf numFmtId="4" fontId="20" fillId="0" borderId="0" xfId="20" applyNumberFormat="1" applyFont="1"/>
    <xf numFmtId="4" fontId="14" fillId="0" borderId="0" xfId="20" applyNumberFormat="1" applyFont="1"/>
    <xf numFmtId="0" fontId="18" fillId="0" borderId="12" xfId="100" applyFont="1" applyBorder="1" applyAlignment="1">
      <alignment horizontal="center" vertical="justify"/>
    </xf>
    <xf numFmtId="49" fontId="18" fillId="0" borderId="12" xfId="100" applyNumberFormat="1" applyFont="1" applyBorder="1" applyAlignment="1">
      <alignment horizontal="left" vertical="justify"/>
    </xf>
    <xf numFmtId="0" fontId="18" fillId="0" borderId="12" xfId="100" applyFont="1" applyBorder="1" applyAlignment="1">
      <alignment vertical="justify"/>
    </xf>
    <xf numFmtId="0" fontId="10" fillId="0" borderId="12" xfId="100" applyFont="1" applyBorder="1" applyAlignment="1">
      <alignment horizontal="center" vertical="center" wrapText="1"/>
    </xf>
    <xf numFmtId="0" fontId="18" fillId="0" borderId="12" xfId="100" applyFont="1" applyBorder="1" applyAlignment="1">
      <alignment horizontal="center" vertical="center" wrapText="1"/>
    </xf>
    <xf numFmtId="49" fontId="10" fillId="0" borderId="12" xfId="100" applyNumberFormat="1" applyFont="1" applyBorder="1" applyAlignment="1">
      <alignment vertical="center" wrapText="1"/>
    </xf>
    <xf numFmtId="0" fontId="10" fillId="0" borderId="12" xfId="100" applyFont="1" applyBorder="1" applyAlignment="1">
      <alignment vertical="center" wrapText="1"/>
    </xf>
    <xf numFmtId="49" fontId="10" fillId="0" borderId="12" xfId="100" applyNumberFormat="1" applyFont="1" applyBorder="1" applyAlignment="1">
      <alignment horizontal="center" vertical="center" wrapText="1" shrinkToFit="1"/>
    </xf>
    <xf numFmtId="4" fontId="10" fillId="0" borderId="12" xfId="100" applyNumberFormat="1" applyFont="1" applyBorder="1" applyAlignment="1">
      <alignment vertical="center" wrapText="1"/>
    </xf>
    <xf numFmtId="39" fontId="10" fillId="0" borderId="12" xfId="3" applyNumberFormat="1" applyFont="1" applyBorder="1" applyAlignment="1" applyProtection="1">
      <alignment horizontal="center" vertical="center"/>
      <protection locked="0"/>
    </xf>
    <xf numFmtId="39" fontId="10" fillId="0" borderId="12" xfId="3" applyNumberFormat="1" applyFont="1" applyBorder="1" applyAlignment="1" applyProtection="1">
      <alignment horizontal="center"/>
      <protection locked="0"/>
    </xf>
    <xf numFmtId="0" fontId="12" fillId="14" borderId="12" xfId="100" applyFill="1" applyBorder="1" applyAlignment="1">
      <alignment horizontal="center" vertical="justify"/>
    </xf>
    <xf numFmtId="49" fontId="313" fillId="2" borderId="12" xfId="100" applyNumberFormat="1" applyFont="1" applyFill="1" applyBorder="1" applyAlignment="1">
      <alignment horizontal="left" vertical="justify"/>
    </xf>
    <xf numFmtId="0" fontId="313" fillId="2" borderId="1" xfId="100" applyFont="1" applyFill="1" applyBorder="1" applyAlignment="1">
      <alignment vertical="justify"/>
    </xf>
    <xf numFmtId="0" fontId="12" fillId="2" borderId="2" xfId="100" applyFill="1" applyBorder="1" applyAlignment="1">
      <alignment horizontal="center" vertical="justify"/>
    </xf>
    <xf numFmtId="4" fontId="12" fillId="2" borderId="2" xfId="100" applyNumberFormat="1" applyFill="1" applyBorder="1" applyAlignment="1">
      <alignment horizontal="right" vertical="justify"/>
    </xf>
    <xf numFmtId="4" fontId="12" fillId="2" borderId="3" xfId="100" applyNumberFormat="1" applyFill="1" applyBorder="1" applyAlignment="1">
      <alignment horizontal="right" vertical="justify"/>
    </xf>
    <xf numFmtId="4" fontId="18" fillId="2" borderId="12" xfId="100" applyNumberFormat="1" applyFont="1" applyFill="1" applyBorder="1" applyAlignment="1">
      <alignment vertical="justify"/>
    </xf>
    <xf numFmtId="4" fontId="10" fillId="13" borderId="12" xfId="100" applyNumberFormat="1" applyFont="1" applyFill="1" applyBorder="1" applyAlignment="1">
      <alignment vertical="center" wrapText="1"/>
    </xf>
    <xf numFmtId="166" fontId="10" fillId="12" borderId="135" xfId="28" applyNumberFormat="1" applyFont="1" applyFill="1" applyBorder="1" applyAlignment="1" applyProtection="1">
      <alignment horizontal="center" vertical="center"/>
    </xf>
    <xf numFmtId="4" fontId="42" fillId="12" borderId="125" xfId="28" applyNumberFormat="1" applyFont="1" applyFill="1" applyBorder="1" applyAlignment="1" applyProtection="1">
      <alignment horizontal="right" vertical="center"/>
    </xf>
    <xf numFmtId="4" fontId="44" fillId="12" borderId="125" xfId="28" applyNumberFormat="1" applyFont="1" applyFill="1" applyBorder="1" applyAlignment="1" applyProtection="1">
      <alignment horizontal="right" vertical="center"/>
    </xf>
    <xf numFmtId="1" fontId="10" fillId="0" borderId="15" xfId="30" applyNumberFormat="1" applyFont="1" applyBorder="1" applyAlignment="1" applyProtection="1">
      <alignment horizontal="right"/>
      <protection locked="0"/>
    </xf>
    <xf numFmtId="0" fontId="10" fillId="0" borderId="15" xfId="30" applyFont="1" applyBorder="1" applyAlignment="1" applyProtection="1">
      <alignment horizontal="left" wrapText="1"/>
      <protection locked="0"/>
    </xf>
    <xf numFmtId="0" fontId="76" fillId="0" borderId="15" xfId="30" applyFont="1" applyBorder="1" applyAlignment="1">
      <alignment vertical="center" wrapText="1"/>
    </xf>
    <xf numFmtId="4" fontId="74" fillId="0" borderId="15" xfId="30" applyNumberFormat="1" applyFont="1" applyBorder="1" applyAlignment="1" applyProtection="1">
      <alignment horizontal="right" wrapText="1"/>
      <protection locked="0"/>
    </xf>
    <xf numFmtId="0" fontId="10" fillId="0" borderId="141" xfId="0" applyFont="1" applyBorder="1" applyAlignment="1">
      <alignment horizontal="left" wrapText="1"/>
      <protection locked="0"/>
    </xf>
    <xf numFmtId="0" fontId="10" fillId="0" borderId="41" xfId="0" applyFont="1" applyBorder="1" applyAlignment="1">
      <alignment horizontal="left" wrapText="1"/>
      <protection locked="0"/>
    </xf>
    <xf numFmtId="0" fontId="76" fillId="0" borderId="15" xfId="0" applyFont="1" applyBorder="1" applyAlignment="1" applyProtection="1"/>
    <xf numFmtId="1" fontId="10" fillId="0" borderId="15" xfId="80" applyNumberFormat="1" applyFont="1" applyBorder="1" applyAlignment="1">
      <alignment horizontal="right"/>
      <protection locked="0"/>
    </xf>
    <xf numFmtId="0" fontId="76" fillId="0" borderId="15" xfId="80" applyFont="1" applyBorder="1" applyAlignment="1" applyProtection="1">
      <alignment wrapText="1"/>
    </xf>
    <xf numFmtId="0" fontId="51" fillId="0" borderId="125" xfId="0" applyFont="1" applyBorder="1" applyAlignment="1" applyProtection="1">
      <alignment horizontal="left"/>
    </xf>
    <xf numFmtId="0" fontId="30" fillId="0" borderId="137" xfId="0" applyFont="1" applyBorder="1" applyAlignment="1">
      <alignment horizontal="left" wrapText="1"/>
      <protection locked="0"/>
    </xf>
    <xf numFmtId="39" fontId="39" fillId="0" borderId="129" xfId="80" applyNumberFormat="1" applyFont="1" applyBorder="1" applyAlignment="1">
      <alignment horizontal="right"/>
      <protection locked="0"/>
    </xf>
    <xf numFmtId="4" fontId="10" fillId="12" borderId="129" xfId="71" applyNumberFormat="1" applyFont="1" applyFill="1" applyBorder="1" applyAlignment="1" applyProtection="1">
      <alignment horizontal="right" vertical="center"/>
      <protection locked="0"/>
    </xf>
    <xf numFmtId="0" fontId="55"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0" fillId="0" borderId="129" xfId="71" applyNumberFormat="1" applyFont="1" applyBorder="1" applyAlignment="1" applyProtection="1">
      <alignment horizontal="right" vertical="center"/>
      <protection locked="0"/>
    </xf>
    <xf numFmtId="4" fontId="10" fillId="12" borderId="125" xfId="71" applyNumberFormat="1" applyFont="1" applyFill="1" applyBorder="1" applyAlignment="1" applyProtection="1">
      <alignment horizontal="right" vertical="center"/>
      <protection locked="0"/>
    </xf>
    <xf numFmtId="0" fontId="51" fillId="0" borderId="125" xfId="71" applyFont="1" applyBorder="1"/>
    <xf numFmtId="1" fontId="10" fillId="0" borderId="125" xfId="71" applyNumberFormat="1" applyFont="1" applyBorder="1" applyAlignment="1" applyProtection="1">
      <alignment horizontal="right" vertical="center"/>
      <protection locked="0"/>
    </xf>
    <xf numFmtId="0" fontId="10" fillId="0" borderId="125" xfId="71" applyFont="1" applyBorder="1" applyAlignment="1" applyProtection="1">
      <alignment horizontal="left" vertical="center" wrapText="1"/>
      <protection locked="0"/>
    </xf>
    <xf numFmtId="0" fontId="314" fillId="0" borderId="125" xfId="71" applyFont="1" applyBorder="1" applyAlignment="1" applyProtection="1">
      <alignment horizontal="left" vertical="center" wrapText="1"/>
      <protection locked="0"/>
    </xf>
    <xf numFmtId="4" fontId="74" fillId="0" borderId="125" xfId="71" applyNumberFormat="1" applyFont="1" applyBorder="1" applyAlignment="1" applyProtection="1">
      <alignment horizontal="right" vertical="center" wrapText="1"/>
      <protection locked="0"/>
    </xf>
    <xf numFmtId="4" fontId="10" fillId="0" borderId="125" xfId="71" applyNumberFormat="1" applyFont="1" applyBorder="1" applyAlignment="1" applyProtection="1">
      <alignment horizontal="right" vertical="center"/>
      <protection locked="0"/>
    </xf>
    <xf numFmtId="4" fontId="10" fillId="13" borderId="125" xfId="25" applyNumberFormat="1" applyFont="1" applyFill="1" applyBorder="1" applyAlignment="1" applyProtection="1">
      <alignment horizontal="right"/>
      <protection locked="0"/>
    </xf>
    <xf numFmtId="4" fontId="10" fillId="12" borderId="125" xfId="25" applyNumberFormat="1" applyFont="1" applyFill="1" applyBorder="1" applyAlignment="1" applyProtection="1">
      <alignment horizontal="right"/>
      <protection locked="0"/>
    </xf>
    <xf numFmtId="1" fontId="10" fillId="0" borderId="129" xfId="71" applyNumberFormat="1" applyFont="1" applyBorder="1" applyAlignment="1" applyProtection="1">
      <alignment horizontal="right" vertical="center"/>
      <protection locked="0"/>
    </xf>
    <xf numFmtId="0" fontId="10" fillId="0" borderId="129" xfId="71" applyFont="1" applyBorder="1" applyAlignment="1" applyProtection="1">
      <alignment horizontal="left" vertical="center" wrapText="1"/>
      <protection locked="0"/>
    </xf>
    <xf numFmtId="0" fontId="314" fillId="0" borderId="129" xfId="71" applyFont="1" applyBorder="1" applyAlignment="1" applyProtection="1">
      <alignment horizontal="left" vertical="center" wrapText="1"/>
      <protection locked="0"/>
    </xf>
    <xf numFmtId="4" fontId="74" fillId="0" borderId="129" xfId="71" applyNumberFormat="1" applyFont="1" applyBorder="1" applyAlignment="1" applyProtection="1">
      <alignment horizontal="right" vertical="center" wrapText="1"/>
      <protection locked="0"/>
    </xf>
    <xf numFmtId="39" fontId="10" fillId="12" borderId="125" xfId="25" applyNumberFormat="1" applyFont="1" applyFill="1" applyBorder="1" applyAlignment="1" applyProtection="1">
      <alignment horizontal="right"/>
      <protection locked="0"/>
    </xf>
    <xf numFmtId="39" fontId="10" fillId="13" borderId="125" xfId="25" applyNumberFormat="1" applyFont="1" applyFill="1" applyBorder="1" applyAlignment="1" applyProtection="1">
      <alignment horizontal="right"/>
      <protection locked="0"/>
    </xf>
    <xf numFmtId="37" fontId="98" fillId="0" borderId="125" xfId="25" applyNumberFormat="1" applyFont="1" applyBorder="1" applyAlignment="1" applyProtection="1">
      <alignment horizontal="right"/>
      <protection locked="0"/>
    </xf>
    <xf numFmtId="0" fontId="98" fillId="0" borderId="125" xfId="25" applyFont="1" applyBorder="1" applyAlignment="1" applyProtection="1">
      <alignment horizontal="left" wrapText="1"/>
      <protection locked="0"/>
    </xf>
    <xf numFmtId="167" fontId="30" fillId="0" borderId="125" xfId="25" applyNumberFormat="1" applyFont="1" applyBorder="1" applyAlignment="1" applyProtection="1">
      <alignment horizontal="right"/>
      <protection locked="0"/>
    </xf>
    <xf numFmtId="39" fontId="98" fillId="0" borderId="125" xfId="25" applyNumberFormat="1" applyFont="1" applyBorder="1" applyAlignment="1" applyProtection="1">
      <alignment horizontal="right"/>
      <protection locked="0"/>
    </xf>
    <xf numFmtId="39" fontId="98" fillId="12" borderId="125" xfId="25" applyNumberFormat="1" applyFont="1" applyFill="1" applyBorder="1" applyAlignment="1" applyProtection="1">
      <alignment horizontal="right"/>
      <protection locked="0"/>
    </xf>
    <xf numFmtId="39" fontId="98" fillId="13" borderId="125" xfId="25" applyNumberFormat="1" applyFont="1" applyFill="1" applyBorder="1" applyAlignment="1" applyProtection="1">
      <alignment horizontal="right"/>
      <protection locked="0"/>
    </xf>
    <xf numFmtId="0" fontId="13" fillId="0" borderId="125" xfId="25" applyFont="1" applyBorder="1" applyAlignment="1" applyProtection="1">
      <alignment horizontal="center" vertical="top"/>
      <protection locked="0"/>
    </xf>
    <xf numFmtId="49" fontId="10" fillId="0" borderId="125" xfId="25" applyNumberFormat="1" applyFont="1" applyBorder="1" applyAlignment="1" applyProtection="1">
      <alignment horizontal="left" wrapText="1"/>
      <protection locked="0"/>
    </xf>
    <xf numFmtId="167" fontId="10" fillId="0" borderId="125" xfId="25" applyNumberFormat="1" applyFont="1" applyBorder="1" applyAlignment="1" applyProtection="1">
      <alignment horizontal="right"/>
      <protection locked="0"/>
    </xf>
    <xf numFmtId="4" fontId="10" fillId="0" borderId="125" xfId="25" applyNumberFormat="1" applyFont="1" applyBorder="1" applyAlignment="1" applyProtection="1">
      <alignment horizontal="right"/>
      <protection locked="0"/>
    </xf>
    <xf numFmtId="167" fontId="9" fillId="0" borderId="125" xfId="25" applyNumberFormat="1" applyBorder="1" applyAlignment="1" applyProtection="1">
      <alignment vertical="top"/>
      <protection locked="0"/>
    </xf>
    <xf numFmtId="37" fontId="74" fillId="0" borderId="125" xfId="25" applyNumberFormat="1" applyFont="1" applyBorder="1" applyAlignment="1" applyProtection="1">
      <alignment horizontal="right"/>
      <protection locked="0"/>
    </xf>
    <xf numFmtId="0" fontId="68" fillId="0" borderId="125" xfId="25" applyFont="1" applyBorder="1" applyAlignment="1" applyProtection="1">
      <alignment horizontal="left" wrapText="1"/>
      <protection locked="0"/>
    </xf>
    <xf numFmtId="0" fontId="74" fillId="0" borderId="125" xfId="25" applyFont="1" applyBorder="1" applyAlignment="1" applyProtection="1">
      <alignment horizontal="left" wrapText="1"/>
      <protection locked="0"/>
    </xf>
    <xf numFmtId="4" fontId="74" fillId="5" borderId="125" xfId="25" applyNumberFormat="1" applyFont="1" applyFill="1" applyBorder="1" applyAlignment="1" applyProtection="1">
      <alignment horizontal="right"/>
      <protection locked="0"/>
    </xf>
    <xf numFmtId="37" fontId="139" fillId="0" borderId="125" xfId="25" applyNumberFormat="1" applyFont="1" applyBorder="1" applyAlignment="1" applyProtection="1">
      <alignment horizontal="right"/>
      <protection locked="0"/>
    </xf>
    <xf numFmtId="0" fontId="230" fillId="0" borderId="125" xfId="25" applyFont="1" applyBorder="1" applyAlignment="1" applyProtection="1">
      <alignment horizontal="left" wrapText="1"/>
      <protection locked="0"/>
    </xf>
    <xf numFmtId="0" fontId="139" fillId="0" borderId="125" xfId="25" applyFont="1" applyBorder="1" applyAlignment="1" applyProtection="1">
      <alignment horizontal="left" wrapText="1"/>
      <protection locked="0"/>
    </xf>
    <xf numFmtId="167" fontId="59" fillId="0" borderId="125" xfId="25" applyNumberFormat="1" applyFont="1" applyBorder="1" applyAlignment="1" applyProtection="1">
      <alignment horizontal="right"/>
      <protection locked="0"/>
    </xf>
    <xf numFmtId="4" fontId="139" fillId="5" borderId="125" xfId="25" applyNumberFormat="1" applyFont="1" applyFill="1" applyBorder="1" applyAlignment="1" applyProtection="1">
      <alignment horizontal="right"/>
      <protection locked="0"/>
    </xf>
    <xf numFmtId="2" fontId="98" fillId="0" borderId="125" xfId="25" applyNumberFormat="1" applyFont="1" applyBorder="1" applyAlignment="1" applyProtection="1">
      <alignment horizontal="left" wrapText="1"/>
      <protection locked="0"/>
    </xf>
    <xf numFmtId="39" fontId="10" fillId="0" borderId="125" xfId="25" applyNumberFormat="1" applyFont="1" applyBorder="1" applyAlignment="1" applyProtection="1">
      <alignment horizontal="right"/>
      <protection locked="0"/>
    </xf>
    <xf numFmtId="1" fontId="10" fillId="0" borderId="125" xfId="25" applyNumberFormat="1" applyFont="1" applyBorder="1" applyAlignment="1" applyProtection="1">
      <alignment horizontal="right"/>
      <protection locked="0"/>
    </xf>
    <xf numFmtId="0" fontId="30" fillId="0" borderId="125" xfId="25" applyFont="1" applyBorder="1" applyAlignment="1" applyProtection="1">
      <alignment horizontal="left" vertical="center" wrapText="1"/>
      <protection locked="0"/>
    </xf>
    <xf numFmtId="39" fontId="10" fillId="12" borderId="125" xfId="40" applyNumberFormat="1" applyFont="1" applyFill="1" applyBorder="1" applyAlignment="1">
      <alignment horizontal="right"/>
      <protection locked="0"/>
    </xf>
    <xf numFmtId="39" fontId="98" fillId="12" borderId="125" xfId="40" applyNumberFormat="1" applyFont="1" applyFill="1" applyBorder="1" applyAlignment="1">
      <alignment horizontal="right"/>
      <protection locked="0"/>
    </xf>
    <xf numFmtId="39" fontId="98" fillId="13" borderId="125" xfId="40" applyNumberFormat="1" applyFont="1" applyFill="1" applyBorder="1" applyAlignment="1">
      <alignment horizontal="right"/>
      <protection locked="0"/>
    </xf>
    <xf numFmtId="0" fontId="13" fillId="0" borderId="125" xfId="40" applyFont="1" applyBorder="1" applyAlignment="1">
      <alignment horizontal="center" vertical="top"/>
      <protection locked="0"/>
    </xf>
    <xf numFmtId="37" fontId="68" fillId="0" borderId="125" xfId="25" applyNumberFormat="1" applyFont="1" applyBorder="1" applyAlignment="1" applyProtection="1">
      <alignment horizontal="right"/>
      <protection locked="0"/>
    </xf>
    <xf numFmtId="0" fontId="51" fillId="0" borderId="125" xfId="25" applyFont="1" applyBorder="1"/>
    <xf numFmtId="0" fontId="9" fillId="12" borderId="125" xfId="25" applyFill="1" applyBorder="1" applyAlignment="1" applyProtection="1">
      <alignment horizontal="left" vertical="top"/>
      <protection locked="0"/>
    </xf>
    <xf numFmtId="0" fontId="9" fillId="13" borderId="125" xfId="25" applyFill="1" applyBorder="1" applyAlignment="1" applyProtection="1">
      <alignment horizontal="left" vertical="top"/>
      <protection locked="0"/>
    </xf>
    <xf numFmtId="0" fontId="10" fillId="0" borderId="125" xfId="75" applyFont="1" applyBorder="1" applyAlignment="1" applyProtection="1">
      <alignment horizontal="left" wrapText="1"/>
      <protection locked="0"/>
    </xf>
    <xf numFmtId="39" fontId="10" fillId="0" borderId="125" xfId="75" applyNumberFormat="1" applyFont="1" applyBorder="1" applyAlignment="1" applyProtection="1">
      <alignment horizontal="right"/>
      <protection locked="0"/>
    </xf>
    <xf numFmtId="0" fontId="30" fillId="0" borderId="125" xfId="75" applyFont="1" applyBorder="1" applyAlignment="1" applyProtection="1">
      <alignment horizontal="left" wrapText="1"/>
      <protection locked="0"/>
    </xf>
    <xf numFmtId="167" fontId="30" fillId="0" borderId="125" xfId="75" applyNumberFormat="1" applyFont="1" applyBorder="1" applyAlignment="1" applyProtection="1">
      <alignment horizontal="right"/>
      <protection locked="0"/>
    </xf>
    <xf numFmtId="39" fontId="10" fillId="12" borderId="125" xfId="75" applyNumberFormat="1" applyFont="1" applyFill="1" applyBorder="1" applyAlignment="1" applyProtection="1">
      <alignment horizontal="right"/>
      <protection locked="0"/>
    </xf>
    <xf numFmtId="39" fontId="10" fillId="13" borderId="125" xfId="75" applyNumberFormat="1" applyFont="1" applyFill="1" applyBorder="1" applyAlignment="1" applyProtection="1">
      <alignment horizontal="right"/>
      <protection locked="0"/>
    </xf>
    <xf numFmtId="1" fontId="10" fillId="0" borderId="125" xfId="25" applyNumberFormat="1" applyFont="1" applyBorder="1" applyAlignment="1">
      <alignment horizontal="right"/>
    </xf>
    <xf numFmtId="4" fontId="10" fillId="0" borderId="125" xfId="25" applyNumberFormat="1" applyFont="1" applyBorder="1" applyAlignment="1">
      <alignment horizontal="right"/>
    </xf>
    <xf numFmtId="39" fontId="68" fillId="0" borderId="125" xfId="25" applyNumberFormat="1" applyFont="1" applyBorder="1" applyAlignment="1" applyProtection="1">
      <alignment horizontal="right"/>
      <protection locked="0"/>
    </xf>
    <xf numFmtId="39" fontId="124" fillId="0" borderId="125" xfId="25" applyNumberFormat="1" applyFont="1" applyBorder="1" applyAlignment="1" applyProtection="1">
      <alignment horizontal="right"/>
      <protection locked="0"/>
    </xf>
    <xf numFmtId="39" fontId="39" fillId="13" borderId="125" xfId="25" applyNumberFormat="1" applyFont="1" applyFill="1" applyBorder="1" applyAlignment="1" applyProtection="1">
      <alignment horizontal="right"/>
      <protection locked="0"/>
    </xf>
    <xf numFmtId="167" fontId="98" fillId="0" borderId="125" xfId="25" applyNumberFormat="1" applyFont="1" applyBorder="1" applyAlignment="1" applyProtection="1">
      <alignment horizontal="right"/>
      <protection locked="0"/>
    </xf>
    <xf numFmtId="39" fontId="10" fillId="0" borderId="125" xfId="53" applyNumberFormat="1" applyFont="1" applyBorder="1" applyAlignment="1" applyProtection="1">
      <alignment horizontal="right"/>
      <protection locked="0"/>
    </xf>
    <xf numFmtId="39" fontId="45" fillId="12" borderId="125" xfId="25" applyNumberFormat="1" applyFont="1" applyFill="1" applyBorder="1" applyAlignment="1" applyProtection="1">
      <alignment horizontal="right"/>
      <protection locked="0"/>
    </xf>
    <xf numFmtId="39" fontId="45"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3" fillId="12" borderId="125" xfId="25" applyFont="1" applyFill="1" applyBorder="1" applyAlignment="1" applyProtection="1">
      <alignment horizontal="center" vertical="top"/>
      <protection locked="0"/>
    </xf>
    <xf numFmtId="0" fontId="13" fillId="13" borderId="125" xfId="25" applyFont="1" applyFill="1" applyBorder="1" applyAlignment="1" applyProtection="1">
      <alignment horizontal="center" vertical="top"/>
      <protection locked="0"/>
    </xf>
    <xf numFmtId="39" fontId="39" fillId="12" borderId="125" xfId="37" applyNumberFormat="1" applyFont="1" applyFill="1" applyBorder="1" applyAlignment="1">
      <alignment horizontal="right"/>
    </xf>
    <xf numFmtId="39" fontId="39" fillId="13" borderId="125" xfId="37" applyNumberFormat="1" applyFont="1" applyFill="1" applyBorder="1" applyAlignment="1">
      <alignment horizontal="right"/>
    </xf>
    <xf numFmtId="4" fontId="30" fillId="12" borderId="125" xfId="8" applyNumberFormat="1" applyFont="1" applyFill="1" applyBorder="1" applyAlignment="1" applyProtection="1">
      <alignment horizontal="right"/>
      <protection locked="0"/>
    </xf>
    <xf numFmtId="4" fontId="30" fillId="12" borderId="125" xfId="37" applyNumberFormat="1" applyFont="1" applyFill="1" applyBorder="1" applyAlignment="1">
      <alignment horizontal="right"/>
    </xf>
    <xf numFmtId="4" fontId="30" fillId="13" borderId="125" xfId="37" applyNumberFormat="1" applyFont="1" applyFill="1" applyBorder="1" applyAlignment="1">
      <alignment horizontal="right"/>
    </xf>
    <xf numFmtId="39" fontId="10" fillId="0" borderId="129" xfId="30" applyNumberFormat="1" applyFont="1" applyBorder="1" applyAlignment="1" applyProtection="1">
      <alignment horizontal="center"/>
      <protection locked="0"/>
    </xf>
    <xf numFmtId="167" fontId="30" fillId="0" borderId="127" xfId="0" applyNumberFormat="1" applyFont="1" applyBorder="1" applyAlignment="1">
      <alignment horizontal="right" wrapText="1"/>
      <protection locked="0"/>
    </xf>
    <xf numFmtId="167" fontId="51" fillId="0" borderId="127" xfId="99" applyNumberFormat="1" applyFont="1" applyBorder="1"/>
    <xf numFmtId="167" fontId="30" fillId="0" borderId="127" xfId="99" applyNumberFormat="1" applyFont="1" applyBorder="1" applyAlignment="1" applyProtection="1">
      <alignment horizontal="right"/>
      <protection locked="0"/>
    </xf>
    <xf numFmtId="167" fontId="10" fillId="0" borderId="143" xfId="0" applyNumberFormat="1" applyFont="1" applyBorder="1" applyAlignment="1">
      <alignment horizontal="right"/>
      <protection locked="0"/>
    </xf>
    <xf numFmtId="4" fontId="74" fillId="0" borderId="127" xfId="30" applyNumberFormat="1" applyFont="1" applyBorder="1" applyAlignment="1" applyProtection="1">
      <alignment horizontal="right" wrapText="1"/>
      <protection locked="0"/>
    </xf>
    <xf numFmtId="4" fontId="10" fillId="0" borderId="129" xfId="30" applyNumberFormat="1" applyFont="1" applyBorder="1" applyAlignment="1" applyProtection="1">
      <alignment horizontal="right"/>
      <protection locked="0"/>
    </xf>
    <xf numFmtId="167" fontId="30" fillId="0" borderId="130" xfId="0" applyNumberFormat="1" applyFont="1" applyBorder="1" applyAlignment="1">
      <alignment horizontal="right"/>
      <protection locked="0"/>
    </xf>
    <xf numFmtId="39" fontId="68" fillId="0" borderId="129" xfId="0" applyNumberFormat="1" applyFont="1" applyBorder="1" applyAlignment="1">
      <alignment horizontal="right"/>
      <protection locked="0"/>
    </xf>
    <xf numFmtId="167" fontId="11" fillId="0" borderId="127" xfId="99" applyNumberFormat="1" applyFont="1" applyBorder="1"/>
    <xf numFmtId="167" fontId="10" fillId="0" borderId="127" xfId="99" applyNumberFormat="1" applyFont="1" applyBorder="1" applyAlignment="1" applyProtection="1">
      <alignment horizontal="right"/>
      <protection locked="0"/>
    </xf>
    <xf numFmtId="0" fontId="69" fillId="0" borderId="125" xfId="40" applyBorder="1" applyAlignment="1">
      <alignment horizontal="right" vertical="center"/>
      <protection locked="0"/>
    </xf>
    <xf numFmtId="0" fontId="13" fillId="0" borderId="125" xfId="28" applyBorder="1" applyAlignment="1">
      <alignment horizontal="left" vertical="top"/>
      <protection locked="0"/>
    </xf>
    <xf numFmtId="0" fontId="72" fillId="0" borderId="125" xfId="26" applyFont="1" applyBorder="1" applyAlignment="1" applyProtection="1">
      <alignment horizontal="right" vertical="center"/>
      <protection locked="0"/>
    </xf>
    <xf numFmtId="39" fontId="10" fillId="0" borderId="142" xfId="0" applyNumberFormat="1" applyFont="1" applyBorder="1" applyAlignment="1">
      <alignment horizontal="center"/>
      <protection locked="0"/>
    </xf>
    <xf numFmtId="39" fontId="10" fillId="0" borderId="15" xfId="30" applyNumberFormat="1" applyFont="1" applyBorder="1" applyAlignment="1" applyProtection="1">
      <alignment horizontal="center"/>
      <protection locked="0"/>
    </xf>
    <xf numFmtId="0" fontId="10" fillId="0" borderId="137" xfId="0" applyFont="1" applyBorder="1" applyAlignment="1">
      <alignment horizontal="left" wrapText="1"/>
      <protection locked="0"/>
    </xf>
    <xf numFmtId="2" fontId="68" fillId="0" borderId="125" xfId="0" applyNumberFormat="1" applyFont="1" applyBorder="1" applyAlignment="1">
      <alignment horizontal="right"/>
      <protection locked="0"/>
    </xf>
    <xf numFmtId="0" fontId="65" fillId="0" borderId="0" xfId="33" applyFill="1" applyAlignment="1" applyProtection="1"/>
    <xf numFmtId="4" fontId="10" fillId="0" borderId="15" xfId="82" applyNumberFormat="1" applyFont="1" applyBorder="1" applyAlignment="1">
      <alignment horizontal="right"/>
      <protection locked="0"/>
    </xf>
    <xf numFmtId="0" fontId="72" fillId="0" borderId="30" xfId="6" applyFont="1" applyBorder="1" applyAlignment="1" applyProtection="1">
      <alignment horizontal="right" vertical="center"/>
      <protection locked="0"/>
    </xf>
    <xf numFmtId="39" fontId="10" fillId="0" borderId="15" xfId="71" applyNumberFormat="1" applyFont="1" applyBorder="1" applyAlignment="1" applyProtection="1">
      <alignment horizontal="center"/>
      <protection locked="0"/>
    </xf>
    <xf numFmtId="1" fontId="11" fillId="0" borderId="15" xfId="21" applyNumberFormat="1" applyFont="1" applyBorder="1"/>
    <xf numFmtId="0" fontId="76" fillId="0" borderId="15" xfId="80" applyFont="1" applyBorder="1" applyAlignment="1" applyProtection="1"/>
    <xf numFmtId="167" fontId="30" fillId="0" borderId="15" xfId="80" applyNumberFormat="1" applyFont="1" applyBorder="1" applyAlignment="1">
      <alignment horizontal="right"/>
      <protection locked="0"/>
    </xf>
    <xf numFmtId="171" fontId="10" fillId="0" borderId="30" xfId="0" applyNumberFormat="1" applyFont="1" applyBorder="1" applyAlignment="1">
      <alignment horizontal="right"/>
      <protection locked="0"/>
    </xf>
    <xf numFmtId="0" fontId="30" fillId="0" borderId="30" xfId="59" applyFont="1" applyBorder="1" applyAlignment="1" applyProtection="1">
      <alignment horizontal="left" vertical="center" wrapText="1"/>
      <protection locked="0"/>
    </xf>
    <xf numFmtId="0" fontId="72" fillId="0" borderId="30" xfId="0" applyFont="1" applyBorder="1" applyAlignment="1">
      <alignment horizontal="right" vertical="center"/>
      <protection locked="0"/>
    </xf>
    <xf numFmtId="39" fontId="10" fillId="0" borderId="30" xfId="0" applyNumberFormat="1" applyFont="1" applyBorder="1" applyAlignment="1">
      <alignment horizontal="center" wrapText="1"/>
      <protection locked="0"/>
    </xf>
    <xf numFmtId="39" fontId="10" fillId="0" borderId="30" xfId="0" applyNumberFormat="1" applyFont="1" applyBorder="1" applyAlignment="1">
      <alignment horizontal="right" vertical="center"/>
      <protection locked="0"/>
    </xf>
    <xf numFmtId="0" fontId="69" fillId="0" borderId="30" xfId="0" applyFont="1" applyBorder="1" applyAlignment="1">
      <alignment vertical="center"/>
      <protection locked="0"/>
    </xf>
    <xf numFmtId="0" fontId="69" fillId="0" borderId="30" xfId="0" applyFont="1" applyBorder="1" applyAlignment="1">
      <alignment vertical="top"/>
      <protection locked="0"/>
    </xf>
    <xf numFmtId="0" fontId="69" fillId="0" borderId="30" xfId="0" applyFont="1" applyBorder="1" applyAlignment="1">
      <alignment horizontal="right" vertical="center"/>
      <protection locked="0"/>
    </xf>
    <xf numFmtId="0" fontId="13" fillId="0" borderId="30" xfId="0" applyFont="1" applyBorder="1" applyAlignment="1">
      <alignment horizontal="center" vertical="top"/>
      <protection locked="0"/>
    </xf>
    <xf numFmtId="0" fontId="13" fillId="0" borderId="125" xfId="0" applyFont="1" applyBorder="1" applyAlignment="1">
      <alignment horizontal="center" vertical="top"/>
      <protection locked="0"/>
    </xf>
    <xf numFmtId="39" fontId="10" fillId="0" borderId="15" xfId="71" applyNumberFormat="1" applyFont="1" applyBorder="1" applyAlignment="1" applyProtection="1">
      <alignment horizontal="right"/>
      <protection locked="0"/>
    </xf>
    <xf numFmtId="0" fontId="72" fillId="0" borderId="30" xfId="26" applyFont="1" applyBorder="1" applyAlignment="1" applyProtection="1">
      <alignment horizontal="right" vertical="center"/>
      <protection locked="0"/>
    </xf>
    <xf numFmtId="39" fontId="10" fillId="0" borderId="30" xfId="75" applyNumberFormat="1" applyFont="1" applyBorder="1" applyAlignment="1" applyProtection="1">
      <alignment horizontal="center"/>
      <protection locked="0"/>
    </xf>
    <xf numFmtId="39" fontId="10" fillId="0" borderId="15" xfId="68" applyNumberFormat="1" applyFont="1" applyBorder="1" applyAlignment="1">
      <alignment horizontal="right" vertical="center"/>
      <protection locked="0"/>
    </xf>
    <xf numFmtId="179" fontId="287" fillId="0" borderId="30" xfId="12" applyNumberFormat="1" applyFont="1" applyBorder="1" applyAlignment="1">
      <alignment horizontal="right" vertical="center"/>
      <protection locked="0"/>
    </xf>
    <xf numFmtId="179" fontId="287" fillId="0" borderId="30" xfId="12" applyNumberFormat="1" applyFont="1" applyBorder="1" applyAlignment="1">
      <alignment vertical="center"/>
      <protection locked="0"/>
    </xf>
    <xf numFmtId="0" fontId="74" fillId="0" borderId="30" xfId="0" quotePrefix="1" applyFont="1" applyBorder="1" applyAlignment="1" applyProtection="1">
      <alignment horizontal="left" wrapText="1"/>
    </xf>
    <xf numFmtId="0" fontId="10" fillId="0" borderId="15" xfId="28" applyFont="1" applyBorder="1" applyAlignment="1">
      <alignment horizontal="left" wrapText="1"/>
      <protection locked="0"/>
    </xf>
    <xf numFmtId="0" fontId="76" fillId="0" borderId="125" xfId="71" applyFont="1" applyBorder="1" applyAlignment="1">
      <alignment vertical="center" wrapText="1"/>
    </xf>
    <xf numFmtId="4" fontId="74" fillId="0" borderId="125" xfId="71" applyNumberFormat="1" applyFont="1" applyBorder="1" applyAlignment="1" applyProtection="1">
      <alignment horizontal="right" wrapText="1"/>
      <protection locked="0"/>
    </xf>
    <xf numFmtId="37" fontId="98" fillId="0" borderId="30" xfId="28" applyNumberFormat="1" applyFont="1" applyBorder="1" applyAlignment="1">
      <alignment horizontal="right"/>
      <protection locked="0"/>
    </xf>
    <xf numFmtId="0" fontId="98" fillId="0" borderId="30" xfId="28" applyFont="1" applyBorder="1" applyAlignment="1">
      <alignment horizontal="left" wrapText="1"/>
      <protection locked="0"/>
    </xf>
    <xf numFmtId="167" fontId="96" fillId="0" borderId="0" xfId="28" applyNumberFormat="1" applyFont="1" applyAlignment="1">
      <alignment horizontal="left" vertical="top"/>
      <protection locked="0"/>
    </xf>
    <xf numFmtId="39" fontId="98" fillId="0" borderId="30" xfId="28" applyNumberFormat="1" applyFont="1" applyBorder="1" applyAlignment="1">
      <alignment horizontal="right"/>
      <protection locked="0"/>
    </xf>
    <xf numFmtId="0" fontId="30" fillId="0" borderId="0" xfId="28" applyFont="1" applyAlignment="1">
      <alignment horizontal="left" wrapText="1"/>
      <protection locked="0"/>
    </xf>
    <xf numFmtId="0" fontId="51" fillId="0" borderId="30" xfId="0" applyFont="1" applyBorder="1" applyAlignment="1" applyProtection="1"/>
    <xf numFmtId="49" fontId="10" fillId="0" borderId="15" xfId="0" applyNumberFormat="1" applyFont="1" applyBorder="1" applyAlignment="1">
      <alignment horizontal="left" wrapText="1"/>
      <protection locked="0"/>
    </xf>
    <xf numFmtId="37" fontId="10" fillId="0" borderId="15" xfId="75" applyNumberFormat="1" applyFont="1" applyBorder="1" applyAlignment="1" applyProtection="1">
      <alignment horizontal="right"/>
      <protection locked="0"/>
    </xf>
    <xf numFmtId="49" fontId="10" fillId="0" borderId="15" xfId="44" applyNumberFormat="1" applyFont="1" applyBorder="1" applyAlignment="1">
      <alignment horizontal="left" wrapText="1"/>
      <protection locked="0"/>
    </xf>
    <xf numFmtId="0" fontId="10" fillId="0" borderId="15" xfId="59" applyFont="1" applyBorder="1" applyAlignment="1" applyProtection="1">
      <alignment horizontal="left" wrapText="1"/>
      <protection locked="0"/>
    </xf>
    <xf numFmtId="0" fontId="10" fillId="0" borderId="15" xfId="75" applyFont="1" applyBorder="1" applyAlignment="1" applyProtection="1">
      <alignment horizontal="left" wrapText="1"/>
      <protection locked="0"/>
    </xf>
    <xf numFmtId="39" fontId="10" fillId="0" borderId="15" xfId="75" applyNumberFormat="1" applyFont="1" applyBorder="1" applyAlignment="1" applyProtection="1">
      <alignment horizontal="right"/>
      <protection locked="0"/>
    </xf>
    <xf numFmtId="37" fontId="10" fillId="0" borderId="30" xfId="75" applyNumberFormat="1" applyFont="1" applyBorder="1" applyAlignment="1" applyProtection="1">
      <alignment horizontal="right"/>
      <protection locked="0"/>
    </xf>
    <xf numFmtId="49" fontId="10" fillId="0" borderId="30" xfId="75" applyNumberFormat="1" applyFont="1" applyBorder="1" applyAlignment="1" applyProtection="1">
      <alignment horizontal="left" wrapText="1"/>
      <protection locked="0"/>
    </xf>
    <xf numFmtId="0" fontId="10" fillId="0" borderId="30" xfId="75" applyFont="1" applyBorder="1" applyAlignment="1" applyProtection="1">
      <alignment horizontal="left" wrapText="1"/>
      <protection locked="0"/>
    </xf>
    <xf numFmtId="0" fontId="30" fillId="0" borderId="30" xfId="75" applyFont="1" applyBorder="1" applyAlignment="1" applyProtection="1">
      <alignment horizontal="left" wrapText="1"/>
      <protection locked="0"/>
    </xf>
    <xf numFmtId="167" fontId="30" fillId="0" borderId="30" xfId="75" applyNumberFormat="1" applyFont="1" applyBorder="1" applyAlignment="1" applyProtection="1">
      <alignment horizontal="right"/>
      <protection locked="0"/>
    </xf>
    <xf numFmtId="39" fontId="10" fillId="0" borderId="30" xfId="75" applyNumberFormat="1" applyFont="1" applyBorder="1" applyAlignment="1" applyProtection="1">
      <alignment horizontal="right"/>
      <protection locked="0"/>
    </xf>
    <xf numFmtId="39" fontId="98" fillId="0" borderId="125" xfId="71" applyNumberFormat="1" applyFont="1" applyBorder="1" applyAlignment="1" applyProtection="1">
      <alignment horizontal="right"/>
      <protection locked="0"/>
    </xf>
    <xf numFmtId="167" fontId="98" fillId="0" borderId="125" xfId="71" applyNumberFormat="1" applyFont="1" applyBorder="1" applyAlignment="1" applyProtection="1">
      <alignment horizontal="right"/>
      <protection locked="0"/>
    </xf>
    <xf numFmtId="39" fontId="18" fillId="0" borderId="125" xfId="71" applyNumberFormat="1" applyFont="1" applyBorder="1" applyAlignment="1" applyProtection="1">
      <alignment horizontal="right" vertical="center"/>
      <protection locked="0"/>
    </xf>
    <xf numFmtId="39" fontId="10" fillId="0" borderId="125" xfId="68" applyNumberFormat="1" applyFont="1" applyBorder="1" applyAlignment="1">
      <alignment horizontal="right" vertical="center"/>
      <protection locked="0"/>
    </xf>
    <xf numFmtId="39" fontId="10" fillId="0" borderId="125" xfId="68" applyNumberFormat="1" applyFont="1" applyBorder="1" applyAlignment="1">
      <alignment horizontal="center"/>
      <protection locked="0"/>
    </xf>
    <xf numFmtId="39" fontId="39" fillId="0" borderId="125" xfId="68" applyNumberFormat="1" applyFont="1" applyBorder="1" applyAlignment="1">
      <alignment horizontal="right" vertical="center"/>
      <protection locked="0"/>
    </xf>
    <xf numFmtId="179" fontId="287" fillId="0" borderId="125" xfId="12" applyNumberFormat="1" applyFont="1" applyBorder="1" applyAlignment="1">
      <alignment vertical="center"/>
      <protection locked="0"/>
    </xf>
    <xf numFmtId="179" fontId="287" fillId="0" borderId="125" xfId="12" applyNumberFormat="1" applyFont="1" applyBorder="1" applyAlignment="1">
      <alignment horizontal="right" vertical="center"/>
      <protection locked="0"/>
    </xf>
    <xf numFmtId="39" fontId="10" fillId="0" borderId="125" xfId="97" applyNumberFormat="1" applyFont="1" applyBorder="1" applyAlignment="1" applyProtection="1">
      <alignment horizontal="center"/>
      <protection locked="0"/>
    </xf>
    <xf numFmtId="0" fontId="96" fillId="0" borderId="125" xfId="0" applyFont="1" applyBorder="1" applyAlignment="1">
      <alignment horizontal="right" vertical="center"/>
      <protection locked="0"/>
    </xf>
    <xf numFmtId="0" fontId="115" fillId="0" borderId="125" xfId="0" applyFont="1" applyBorder="1" applyAlignment="1">
      <alignment horizontal="center" vertical="center"/>
      <protection locked="0"/>
    </xf>
    <xf numFmtId="39" fontId="10" fillId="0" borderId="125" xfId="0" applyNumberFormat="1" applyFont="1" applyBorder="1" applyAlignment="1">
      <alignment horizontal="center" vertical="top"/>
      <protection locked="0"/>
    </xf>
    <xf numFmtId="39" fontId="124" fillId="0" borderId="125" xfId="0" applyNumberFormat="1" applyFont="1" applyBorder="1" applyAlignment="1">
      <alignment horizontal="center"/>
      <protection locked="0"/>
    </xf>
    <xf numFmtId="39" fontId="18" fillId="0" borderId="125" xfId="0" applyNumberFormat="1" applyFont="1" applyBorder="1" applyAlignment="1">
      <alignment horizontal="center"/>
      <protection locked="0"/>
    </xf>
    <xf numFmtId="39" fontId="10" fillId="0" borderId="125" xfId="63" applyNumberFormat="1" applyFont="1" applyBorder="1" applyAlignment="1">
      <alignment horizontal="center"/>
    </xf>
    <xf numFmtId="0" fontId="40" fillId="0" borderId="125" xfId="63" applyBorder="1" applyAlignment="1">
      <alignment horizontal="left" vertical="top"/>
    </xf>
    <xf numFmtId="39" fontId="136" fillId="0" borderId="125" xfId="68" applyNumberFormat="1" applyFont="1" applyBorder="1" applyAlignment="1">
      <alignment horizontal="right" vertical="center"/>
      <protection locked="0"/>
    </xf>
    <xf numFmtId="172" fontId="10" fillId="0" borderId="125" xfId="68" applyNumberFormat="1" applyFont="1" applyBorder="1" applyAlignment="1">
      <alignment horizontal="center"/>
      <protection locked="0"/>
    </xf>
    <xf numFmtId="39" fontId="10" fillId="0" borderId="125" xfId="28" applyNumberFormat="1" applyFont="1" applyBorder="1" applyAlignment="1">
      <alignment horizontal="right"/>
      <protection locked="0"/>
    </xf>
    <xf numFmtId="49" fontId="68" fillId="0" borderId="125" xfId="0" applyNumberFormat="1" applyFont="1" applyBorder="1" applyAlignment="1">
      <alignment horizontal="right"/>
      <protection locked="0"/>
    </xf>
    <xf numFmtId="0" fontId="10" fillId="0" borderId="125" xfId="35" applyFont="1" applyBorder="1" applyAlignment="1">
      <alignment horizontal="left" wrapText="1"/>
      <protection locked="0"/>
    </xf>
    <xf numFmtId="1" fontId="10" fillId="0" borderId="125" xfId="35" applyNumberFormat="1" applyFont="1" applyBorder="1" applyAlignment="1">
      <alignment horizontal="right"/>
      <protection locked="0"/>
    </xf>
    <xf numFmtId="1" fontId="10" fillId="0" borderId="125" xfId="97" applyNumberFormat="1" applyFont="1" applyBorder="1" applyAlignment="1" applyProtection="1">
      <alignment horizontal="right"/>
      <protection locked="0"/>
    </xf>
    <xf numFmtId="0" fontId="10" fillId="0" borderId="125" xfId="97" applyFont="1" applyBorder="1" applyAlignment="1" applyProtection="1">
      <alignment horizontal="left" wrapText="1"/>
      <protection locked="0"/>
    </xf>
    <xf numFmtId="0" fontId="76" fillId="0" borderId="125" xfId="97" applyFont="1" applyBorder="1" applyAlignment="1">
      <alignment vertical="center" wrapText="1"/>
    </xf>
    <xf numFmtId="4" fontId="74" fillId="0" borderId="125" xfId="97" applyNumberFormat="1" applyFont="1" applyBorder="1" applyAlignment="1" applyProtection="1">
      <alignment horizontal="right" wrapText="1"/>
      <protection locked="0"/>
    </xf>
    <xf numFmtId="4" fontId="10" fillId="0" borderId="125" xfId="97" applyNumberFormat="1" applyFont="1" applyBorder="1" applyAlignment="1" applyProtection="1">
      <alignment horizontal="right"/>
      <protection locked="0"/>
    </xf>
    <xf numFmtId="39" fontId="56" fillId="0" borderId="125" xfId="3" applyNumberFormat="1" applyFont="1" applyBorder="1" applyAlignment="1" applyProtection="1">
      <alignment horizontal="center"/>
      <protection locked="0"/>
    </xf>
    <xf numFmtId="39" fontId="10" fillId="0" borderId="125" xfId="69" applyNumberFormat="1" applyFont="1" applyBorder="1" applyAlignment="1" applyProtection="1">
      <alignment horizontal="center"/>
      <protection locked="0"/>
    </xf>
    <xf numFmtId="39" fontId="10" fillId="0" borderId="125" xfId="34" applyNumberFormat="1" applyFont="1" applyBorder="1" applyAlignment="1" applyProtection="1">
      <alignment horizontal="center"/>
      <protection locked="0"/>
    </xf>
    <xf numFmtId="0" fontId="70" fillId="0" borderId="125" xfId="34" applyFont="1" applyBorder="1" applyAlignment="1" applyProtection="1">
      <alignment horizontal="right" vertical="center"/>
      <protection locked="0"/>
    </xf>
    <xf numFmtId="0" fontId="55" fillId="0" borderId="125" xfId="3" applyFont="1" applyBorder="1" applyAlignment="1" applyProtection="1">
      <alignment horizontal="left" vertical="top"/>
      <protection locked="0"/>
    </xf>
    <xf numFmtId="39" fontId="50" fillId="0" borderId="125" xfId="3" applyNumberFormat="1" applyFont="1" applyBorder="1" applyAlignment="1" applyProtection="1">
      <alignment horizontal="center"/>
      <protection locked="0"/>
    </xf>
    <xf numFmtId="0" fontId="9" fillId="0" borderId="125" xfId="71" applyBorder="1" applyAlignment="1">
      <alignment horizontal="left" vertical="top"/>
    </xf>
    <xf numFmtId="0" fontId="96" fillId="0" borderId="125" xfId="49" applyFont="1" applyBorder="1" applyAlignment="1" applyProtection="1">
      <alignment horizontal="right" vertical="center"/>
      <protection locked="0"/>
    </xf>
    <xf numFmtId="0" fontId="14" fillId="0" borderId="125" xfId="59"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9" fillId="0" borderId="125" xfId="25" applyBorder="1" applyAlignment="1" applyProtection="1">
      <alignment horizontal="left" vertical="top"/>
      <protection locked="0"/>
    </xf>
    <xf numFmtId="39" fontId="10" fillId="0" borderId="125" xfId="75" applyNumberFormat="1" applyFont="1" applyBorder="1" applyAlignment="1" applyProtection="1">
      <alignment horizontal="center"/>
      <protection locked="0"/>
    </xf>
    <xf numFmtId="0" fontId="9" fillId="0" borderId="125" xfId="25" applyBorder="1" applyAlignment="1" applyProtection="1">
      <alignment vertical="top"/>
      <protection locked="0"/>
    </xf>
    <xf numFmtId="0" fontId="13" fillId="0" borderId="125" xfId="25" applyFont="1" applyBorder="1" applyAlignment="1" applyProtection="1">
      <alignment horizontal="right" vertical="center"/>
      <protection locked="0"/>
    </xf>
    <xf numFmtId="39" fontId="13" fillId="0" borderId="125" xfId="25" applyNumberFormat="1" applyFont="1" applyBorder="1" applyAlignment="1" applyProtection="1">
      <alignment horizontal="center" vertical="top"/>
      <protection locked="0"/>
    </xf>
    <xf numFmtId="0" fontId="13" fillId="0" borderId="125" xfId="25" applyFont="1" applyBorder="1" applyAlignment="1" applyProtection="1">
      <alignment horizontal="left" vertical="top"/>
      <protection locked="0"/>
    </xf>
    <xf numFmtId="0" fontId="96" fillId="0" borderId="125" xfId="37" applyFont="1" applyBorder="1" applyAlignment="1">
      <alignment horizontal="left" vertical="top"/>
    </xf>
    <xf numFmtId="0" fontId="55" fillId="0" borderId="125" xfId="63" applyFont="1" applyBorder="1" applyAlignment="1">
      <alignment horizontal="right" vertical="center"/>
    </xf>
    <xf numFmtId="0" fontId="69" fillId="0" borderId="125" xfId="8" applyFont="1" applyBorder="1" applyAlignment="1" applyProtection="1">
      <alignment horizontal="left" vertical="center"/>
      <protection locked="0"/>
    </xf>
    <xf numFmtId="39" fontId="45" fillId="0" borderId="125" xfId="25" applyNumberFormat="1" applyFont="1" applyBorder="1" applyAlignment="1" applyProtection="1">
      <alignment horizontal="center"/>
      <protection locked="0"/>
    </xf>
    <xf numFmtId="0" fontId="55" fillId="0" borderId="30" xfId="63" applyFont="1" applyBorder="1" applyAlignment="1">
      <alignment horizontal="right" vertical="center"/>
    </xf>
    <xf numFmtId="39" fontId="45" fillId="0" borderId="30" xfId="25" applyNumberFormat="1" applyFont="1" applyBorder="1" applyAlignment="1" applyProtection="1">
      <alignment horizontal="center"/>
      <protection locked="0"/>
    </xf>
    <xf numFmtId="0" fontId="55" fillId="0" borderId="30" xfId="63" applyFont="1" applyBorder="1" applyAlignment="1" applyProtection="1">
      <alignment horizontal="right" vertical="center"/>
      <protection locked="0"/>
    </xf>
    <xf numFmtId="0" fontId="55" fillId="0" borderId="30" xfId="37" applyFont="1" applyBorder="1" applyAlignment="1" applyProtection="1">
      <alignment horizontal="right" vertical="top"/>
      <protection locked="0"/>
    </xf>
    <xf numFmtId="0" fontId="55" fillId="0" borderId="30" xfId="37" applyFont="1" applyBorder="1" applyAlignment="1" applyProtection="1">
      <alignment horizontal="left" vertical="top"/>
      <protection locked="0"/>
    </xf>
    <xf numFmtId="39" fontId="10" fillId="0" borderId="30" xfId="37" applyNumberFormat="1" applyFont="1" applyBorder="1" applyAlignment="1">
      <alignment horizontal="center"/>
    </xf>
    <xf numFmtId="0" fontId="40" fillId="0" borderId="30" xfId="37" applyBorder="1" applyAlignment="1">
      <alignment horizontal="left" vertical="top"/>
    </xf>
    <xf numFmtId="0" fontId="27" fillId="0" borderId="12" xfId="100" applyFont="1" applyBorder="1" applyAlignment="1">
      <alignment vertical="center" wrapText="1"/>
    </xf>
    <xf numFmtId="0" fontId="30" fillId="0" borderId="12" xfId="100" applyFont="1" applyBorder="1" applyAlignment="1">
      <alignment vertical="center" wrapText="1"/>
    </xf>
    <xf numFmtId="0" fontId="10" fillId="0" borderId="12" xfId="21" applyFont="1" applyBorder="1" applyAlignment="1">
      <alignment horizontal="center" vertical="center" wrapText="1"/>
    </xf>
    <xf numFmtId="4" fontId="10" fillId="0" borderId="12" xfId="21" applyNumberFormat="1" applyFont="1" applyBorder="1" applyAlignment="1">
      <alignment vertical="center" wrapText="1"/>
    </xf>
    <xf numFmtId="0" fontId="27" fillId="0" borderId="12" xfId="100" applyFont="1" applyBorder="1" applyAlignment="1">
      <alignment horizontal="center" vertical="center" wrapText="1"/>
    </xf>
    <xf numFmtId="4" fontId="10" fillId="12" borderId="129" xfId="28" applyNumberFormat="1" applyFont="1" applyFill="1" applyBorder="1" applyAlignment="1">
      <alignment horizontal="right"/>
      <protection locked="0"/>
    </xf>
    <xf numFmtId="0" fontId="13" fillId="0" borderId="129" xfId="28" applyBorder="1" applyAlignment="1">
      <alignment horizontal="left" vertical="top"/>
      <protection locked="0"/>
    </xf>
    <xf numFmtId="4" fontId="10" fillId="0" borderId="129" xfId="71" applyNumberFormat="1" applyFont="1" applyBorder="1" applyAlignment="1" applyProtection="1">
      <alignment horizontal="right"/>
      <protection locked="0"/>
    </xf>
    <xf numFmtId="4" fontId="10" fillId="12" borderId="129" xfId="71" applyNumberFormat="1" applyFont="1" applyFill="1" applyBorder="1" applyAlignment="1" applyProtection="1">
      <alignment horizontal="right"/>
      <protection locked="0"/>
    </xf>
    <xf numFmtId="39" fontId="10" fillId="0" borderId="129" xfId="75" applyNumberFormat="1" applyFont="1" applyBorder="1" applyAlignment="1" applyProtection="1">
      <alignment horizontal="center"/>
      <protection locked="0"/>
    </xf>
    <xf numFmtId="39" fontId="10" fillId="12" borderId="129" xfId="75" applyNumberFormat="1" applyFont="1" applyFill="1" applyBorder="1" applyAlignment="1" applyProtection="1">
      <alignment horizontal="right"/>
      <protection locked="0"/>
    </xf>
    <xf numFmtId="4" fontId="39" fillId="12" borderId="129" xfId="99" applyNumberFormat="1" applyFont="1" applyFill="1" applyBorder="1" applyAlignment="1" applyProtection="1">
      <alignment horizontal="right"/>
      <protection locked="0"/>
    </xf>
    <xf numFmtId="4" fontId="39" fillId="13" borderId="129" xfId="99" applyNumberFormat="1" applyFont="1" applyFill="1" applyBorder="1" applyAlignment="1" applyProtection="1">
      <alignment horizontal="right"/>
      <protection locked="0"/>
    </xf>
    <xf numFmtId="49" fontId="10" fillId="0" borderId="125" xfId="75" applyNumberFormat="1" applyFont="1" applyBorder="1" applyAlignment="1" applyProtection="1">
      <alignment horizontal="right"/>
      <protection locked="0"/>
    </xf>
    <xf numFmtId="49" fontId="10" fillId="0" borderId="125" xfId="75" applyNumberFormat="1" applyFont="1" applyBorder="1" applyAlignment="1" applyProtection="1">
      <alignment horizontal="left" wrapText="1"/>
      <protection locked="0"/>
    </xf>
    <xf numFmtId="37" fontId="39" fillId="0" borderId="125" xfId="25" applyNumberFormat="1" applyFont="1" applyBorder="1" applyAlignment="1" applyProtection="1">
      <alignment horizontal="right"/>
      <protection locked="0"/>
    </xf>
    <xf numFmtId="49" fontId="98" fillId="0" borderId="125" xfId="25" applyNumberFormat="1" applyFont="1" applyBorder="1" applyAlignment="1" applyProtection="1">
      <alignment horizontal="right"/>
      <protection locked="0"/>
    </xf>
    <xf numFmtId="49" fontId="10" fillId="0" borderId="125" xfId="25" applyNumberFormat="1" applyFont="1" applyBorder="1" applyAlignment="1" applyProtection="1">
      <alignment horizontal="right"/>
      <protection locked="0"/>
    </xf>
    <xf numFmtId="49" fontId="68" fillId="0" borderId="125" xfId="25" applyNumberFormat="1" applyFont="1" applyBorder="1" applyAlignment="1" applyProtection="1">
      <alignment horizontal="right"/>
      <protection locked="0"/>
    </xf>
    <xf numFmtId="3" fontId="21" fillId="0" borderId="13" xfId="8" applyNumberFormat="1" applyFont="1" applyBorder="1" applyAlignment="1">
      <alignment horizontal="right"/>
    </xf>
    <xf numFmtId="3" fontId="20" fillId="0" borderId="13" xfId="8" applyNumberFormat="1" applyFont="1" applyBorder="1" applyAlignment="1">
      <alignment horizontal="right"/>
    </xf>
    <xf numFmtId="3" fontId="20" fillId="0" borderId="16" xfId="8" applyNumberFormat="1" applyFont="1" applyBorder="1" applyAlignment="1">
      <alignment horizontal="right"/>
    </xf>
    <xf numFmtId="3" fontId="21" fillId="0" borderId="15" xfId="8" applyNumberFormat="1" applyFont="1" applyBorder="1" applyAlignment="1">
      <alignment horizontal="right"/>
    </xf>
    <xf numFmtId="3" fontId="21" fillId="0" borderId="132" xfId="8" applyNumberFormat="1" applyFont="1" applyBorder="1" applyAlignment="1">
      <alignment horizontal="right"/>
    </xf>
    <xf numFmtId="4" fontId="19" fillId="0" borderId="0" xfId="20" applyNumberFormat="1" applyFont="1" applyAlignment="1">
      <alignment horizontal="center"/>
    </xf>
    <xf numFmtId="0" fontId="19" fillId="0" borderId="0" xfId="20" applyFont="1"/>
    <xf numFmtId="4" fontId="14" fillId="0" borderId="0" xfId="20" applyNumberFormat="1" applyFont="1" applyAlignment="1">
      <alignment horizontal="center" vertical="center"/>
    </xf>
    <xf numFmtId="0" fontId="14" fillId="0" borderId="0" xfId="20" applyFont="1" applyAlignment="1">
      <alignment horizontal="center" vertical="center"/>
    </xf>
    <xf numFmtId="167" fontId="14" fillId="0" borderId="0" xfId="20" applyNumberFormat="1" applyFont="1" applyAlignment="1">
      <alignment horizontal="center" vertical="center"/>
    </xf>
    <xf numFmtId="3" fontId="14" fillId="0" borderId="0" xfId="20" applyNumberFormat="1" applyFont="1" applyAlignment="1">
      <alignment horizontal="center" vertical="center"/>
    </xf>
    <xf numFmtId="0" fontId="31" fillId="0" borderId="0" xfId="20" applyFont="1" applyAlignment="1">
      <alignment vertical="center"/>
    </xf>
    <xf numFmtId="0" fontId="19" fillId="0" borderId="0" xfId="20" applyFont="1" applyAlignment="1">
      <alignment vertical="center"/>
    </xf>
    <xf numFmtId="0" fontId="14" fillId="0" borderId="0" xfId="20" applyFont="1" applyAlignment="1">
      <alignment horizontal="left" vertical="center"/>
    </xf>
    <xf numFmtId="39" fontId="13" fillId="0" borderId="125" xfId="40" applyNumberFormat="1" applyFont="1" applyBorder="1" applyAlignment="1">
      <alignment horizontal="center" vertical="top"/>
      <protection locked="0"/>
    </xf>
    <xf numFmtId="37" fontId="30" fillId="0" borderId="125" xfId="40" applyNumberFormat="1" applyFont="1" applyBorder="1" applyAlignment="1">
      <alignment horizontal="right"/>
      <protection locked="0"/>
    </xf>
    <xf numFmtId="167" fontId="30" fillId="0" borderId="125" xfId="40" applyNumberFormat="1" applyFont="1" applyBorder="1" applyAlignment="1">
      <alignment horizontal="right" wrapText="1"/>
      <protection locked="0"/>
    </xf>
    <xf numFmtId="39" fontId="30" fillId="0" borderId="125" xfId="40" applyNumberFormat="1" applyFont="1" applyBorder="1" applyAlignment="1">
      <alignment horizontal="right"/>
      <protection locked="0"/>
    </xf>
    <xf numFmtId="167" fontId="55" fillId="0" borderId="125" xfId="40" applyNumberFormat="1" applyFont="1" applyBorder="1" applyAlignment="1">
      <alignment horizontal="left" vertical="top"/>
      <protection locked="0"/>
    </xf>
    <xf numFmtId="0" fontId="232" fillId="0" borderId="0" xfId="71" applyFont="1" applyAlignment="1" applyProtection="1">
      <alignment horizontal="left" vertical="center"/>
      <protection locked="0"/>
    </xf>
    <xf numFmtId="4" fontId="13" fillId="0" borderId="0" xfId="63" applyNumberFormat="1" applyFont="1" applyAlignment="1" applyProtection="1">
      <alignment horizontal="left" vertical="top"/>
      <protection locked="0"/>
    </xf>
    <xf numFmtId="0" fontId="54" fillId="0" borderId="0" xfId="0" applyFont="1" applyAlignment="1" applyProtection="1"/>
    <xf numFmtId="0" fontId="72" fillId="0" borderId="0" xfId="0" applyFont="1" applyAlignment="1">
      <alignment horizontal="left" vertical="center"/>
      <protection locked="0"/>
    </xf>
    <xf numFmtId="0" fontId="232" fillId="0" borderId="0" xfId="30" applyFont="1" applyAlignment="1" applyProtection="1">
      <alignment horizontal="left" vertical="center"/>
      <protection locked="0"/>
    </xf>
    <xf numFmtId="0" fontId="97" fillId="0" borderId="0" xfId="0" applyFont="1" applyAlignment="1">
      <alignment horizontal="right" vertical="top"/>
      <protection locked="0"/>
    </xf>
    <xf numFmtId="0" fontId="30" fillId="0" borderId="0" xfId="0" applyFont="1" applyAlignment="1">
      <alignment horizontal="left" vertical="top"/>
      <protection locked="0"/>
    </xf>
    <xf numFmtId="0" fontId="259" fillId="0" borderId="0" xfId="0" applyFont="1" applyAlignment="1">
      <alignment horizontal="left" vertical="top"/>
      <protection locked="0"/>
    </xf>
    <xf numFmtId="3" fontId="21" fillId="0" borderId="129" xfId="8" applyNumberFormat="1" applyFont="1" applyBorder="1" applyAlignment="1">
      <alignment horizontal="right"/>
    </xf>
    <xf numFmtId="4" fontId="166" fillId="0" borderId="0" xfId="70" applyNumberFormat="1" applyFont="1" applyAlignment="1">
      <alignment vertical="center"/>
    </xf>
    <xf numFmtId="0" fontId="217" fillId="0" borderId="0" xfId="70" applyFont="1" applyAlignment="1" applyProtection="1">
      <alignment horizontal="left" vertical="center"/>
      <protection locked="0"/>
    </xf>
    <xf numFmtId="4" fontId="217" fillId="0" borderId="0" xfId="70" applyNumberFormat="1" applyFont="1" applyAlignment="1" applyProtection="1">
      <alignment vertical="center"/>
      <protection locked="0"/>
    </xf>
    <xf numFmtId="0" fontId="61" fillId="0" borderId="64" xfId="70" applyFont="1" applyBorder="1" applyAlignment="1" applyProtection="1">
      <alignment horizontal="center" vertical="center"/>
      <protection locked="0"/>
    </xf>
    <xf numFmtId="49" fontId="61" fillId="0" borderId="64" xfId="70" applyNumberFormat="1" applyFont="1" applyBorder="1" applyAlignment="1" applyProtection="1">
      <alignment horizontal="left" vertical="center" wrapText="1"/>
      <protection locked="0"/>
    </xf>
    <xf numFmtId="0" fontId="61" fillId="0" borderId="64" xfId="70" applyFont="1" applyBorder="1" applyAlignment="1" applyProtection="1">
      <alignment horizontal="left" vertical="center" wrapText="1"/>
      <protection locked="0"/>
    </xf>
    <xf numFmtId="0" fontId="61" fillId="0" borderId="64" xfId="70" applyFont="1" applyBorder="1" applyAlignment="1" applyProtection="1">
      <alignment horizontal="center" vertical="center" wrapText="1"/>
      <protection locked="0"/>
    </xf>
    <xf numFmtId="167" fontId="61" fillId="0" borderId="64" xfId="70" applyNumberFormat="1" applyFont="1" applyBorder="1" applyAlignment="1" applyProtection="1">
      <alignment vertical="center"/>
      <protection locked="0"/>
    </xf>
    <xf numFmtId="4" fontId="61" fillId="0" borderId="64" xfId="70" applyNumberFormat="1" applyFont="1" applyBorder="1" applyAlignment="1" applyProtection="1">
      <alignment vertical="center"/>
      <protection locked="0"/>
    </xf>
    <xf numFmtId="0" fontId="224" fillId="0" borderId="64" xfId="70" applyFont="1" applyBorder="1" applyAlignment="1" applyProtection="1">
      <alignment horizontal="center" vertical="center"/>
      <protection locked="0"/>
    </xf>
    <xf numFmtId="49" fontId="224" fillId="0" borderId="64" xfId="70" applyNumberFormat="1" applyFont="1" applyBorder="1" applyAlignment="1" applyProtection="1">
      <alignment horizontal="left" vertical="center" wrapText="1"/>
      <protection locked="0"/>
    </xf>
    <xf numFmtId="0" fontId="224" fillId="0" borderId="64" xfId="70" applyFont="1" applyBorder="1" applyAlignment="1" applyProtection="1">
      <alignment horizontal="left" vertical="center" wrapText="1"/>
      <protection locked="0"/>
    </xf>
    <xf numFmtId="0" fontId="224" fillId="0" borderId="64" xfId="70" applyFont="1" applyBorder="1" applyAlignment="1" applyProtection="1">
      <alignment horizontal="center" vertical="center" wrapText="1"/>
      <protection locked="0"/>
    </xf>
    <xf numFmtId="167" fontId="224" fillId="0" borderId="64" xfId="70" applyNumberFormat="1" applyFont="1" applyBorder="1" applyAlignment="1" applyProtection="1">
      <alignment vertical="center"/>
      <protection locked="0"/>
    </xf>
    <xf numFmtId="4" fontId="224" fillId="0" borderId="64" xfId="70" applyNumberFormat="1" applyFont="1" applyBorder="1" applyAlignment="1" applyProtection="1">
      <alignment vertical="center"/>
      <protection locked="0"/>
    </xf>
    <xf numFmtId="4" fontId="19" fillId="0" borderId="4" xfId="8" applyNumberFormat="1" applyFont="1" applyBorder="1" applyAlignment="1">
      <alignment horizontal="right" vertical="center"/>
    </xf>
    <xf numFmtId="4" fontId="19" fillId="0" borderId="0" xfId="8" applyNumberFormat="1" applyFont="1" applyAlignment="1">
      <alignment horizontal="right" vertical="center"/>
    </xf>
    <xf numFmtId="4" fontId="19" fillId="12" borderId="5" xfId="8" applyNumberFormat="1" applyFont="1" applyFill="1" applyBorder="1" applyAlignment="1">
      <alignment horizontal="right" vertical="center"/>
    </xf>
    <xf numFmtId="0" fontId="19" fillId="13" borderId="6" xfId="8" applyFont="1" applyFill="1" applyBorder="1" applyAlignment="1">
      <alignment vertical="center"/>
    </xf>
    <xf numFmtId="0" fontId="19" fillId="13" borderId="7" xfId="8" applyFont="1" applyFill="1" applyBorder="1" applyAlignment="1">
      <alignment vertical="center"/>
    </xf>
    <xf numFmtId="1" fontId="19" fillId="13" borderId="7" xfId="8" applyNumberFormat="1" applyFont="1" applyFill="1" applyBorder="1" applyAlignment="1">
      <alignment horizontal="right" vertical="center"/>
    </xf>
    <xf numFmtId="0" fontId="19" fillId="13" borderId="8" xfId="8" applyFont="1" applyFill="1" applyBorder="1" applyAlignment="1">
      <alignment vertical="center"/>
    </xf>
    <xf numFmtId="4" fontId="14" fillId="13" borderId="6" xfId="8" applyNumberFormat="1" applyFont="1" applyFill="1" applyBorder="1" applyAlignment="1">
      <alignment horizontal="right" vertical="center"/>
    </xf>
    <xf numFmtId="4" fontId="14" fillId="13" borderId="7" xfId="8" applyNumberFormat="1" applyFont="1" applyFill="1" applyBorder="1" applyAlignment="1">
      <alignment horizontal="right" vertical="center"/>
    </xf>
    <xf numFmtId="4" fontId="19" fillId="13" borderId="8" xfId="8" applyNumberFormat="1" applyFont="1" applyFill="1" applyBorder="1" applyAlignment="1">
      <alignment horizontal="right" vertical="center"/>
    </xf>
    <xf numFmtId="3" fontId="20" fillId="0" borderId="15" xfId="8" applyNumberFormat="1" applyFont="1" applyBorder="1" applyAlignment="1">
      <alignment horizontal="right"/>
    </xf>
    <xf numFmtId="3" fontId="20" fillId="0" borderId="129" xfId="8" applyNumberFormat="1" applyFont="1" applyBorder="1" applyAlignment="1">
      <alignment horizontal="right"/>
    </xf>
    <xf numFmtId="3" fontId="20" fillId="0" borderId="132" xfId="8" applyNumberFormat="1" applyFont="1" applyBorder="1" applyAlignment="1">
      <alignment horizontal="right"/>
    </xf>
    <xf numFmtId="3" fontId="14" fillId="0" borderId="0" xfId="22" applyNumberFormat="1" applyAlignment="1">
      <alignment horizontal="left" vertical="center"/>
    </xf>
    <xf numFmtId="0" fontId="19" fillId="0" borderId="0" xfId="22" applyFont="1" applyAlignment="1">
      <alignment horizontal="left" vertical="center"/>
    </xf>
    <xf numFmtId="0" fontId="36" fillId="0" borderId="0" xfId="3" applyFont="1" applyAlignment="1">
      <alignment vertical="center"/>
    </xf>
    <xf numFmtId="4" fontId="36" fillId="0" borderId="0" xfId="3" applyNumberFormat="1" applyFont="1" applyAlignment="1">
      <alignment vertical="center"/>
    </xf>
    <xf numFmtId="3" fontId="36" fillId="0" borderId="0" xfId="3" applyNumberFormat="1" applyFont="1" applyAlignment="1">
      <alignment vertical="center"/>
    </xf>
    <xf numFmtId="0" fontId="262" fillId="0" borderId="0" xfId="49" applyFont="1" applyAlignment="1" applyProtection="1">
      <alignment horizontal="left" vertical="center"/>
      <protection locked="0"/>
    </xf>
    <xf numFmtId="0" fontId="108" fillId="0" borderId="0" xfId="40" applyFont="1" applyAlignment="1">
      <alignment horizontal="left" vertical="top"/>
      <protection locked="0"/>
    </xf>
    <xf numFmtId="0" fontId="263" fillId="0" borderId="0" xfId="32" applyFont="1" applyAlignment="1" applyProtection="1">
      <alignment horizontal="right" vertical="center"/>
      <protection locked="0"/>
    </xf>
    <xf numFmtId="0" fontId="264" fillId="0" borderId="0" xfId="94" applyFont="1" applyAlignment="1" applyProtection="1">
      <alignment horizontal="left" vertical="top"/>
      <protection locked="0"/>
    </xf>
    <xf numFmtId="0" fontId="150" fillId="0" borderId="0" xfId="40" applyFont="1" applyAlignment="1">
      <alignment horizontal="left" vertical="center"/>
      <protection locked="0"/>
    </xf>
    <xf numFmtId="0" fontId="97" fillId="0" borderId="0" xfId="40" applyFont="1" applyAlignment="1">
      <alignment horizontal="left" vertical="center"/>
      <protection locked="0"/>
    </xf>
    <xf numFmtId="167" fontId="85" fillId="0" borderId="0" xfId="3" applyNumberFormat="1" applyFont="1" applyAlignment="1">
      <alignment vertical="center"/>
    </xf>
    <xf numFmtId="0" fontId="69" fillId="0" borderId="0" xfId="40" applyAlignment="1">
      <alignment horizontal="left" vertical="center"/>
      <protection locked="0"/>
    </xf>
    <xf numFmtId="0" fontId="97" fillId="0" borderId="0" xfId="40" applyFont="1" applyAlignment="1">
      <alignment horizontal="left" vertical="top"/>
      <protection locked="0"/>
    </xf>
    <xf numFmtId="39" fontId="83" fillId="0" borderId="0" xfId="40" applyNumberFormat="1" applyFont="1" applyAlignment="1" applyProtection="1"/>
    <xf numFmtId="39" fontId="69" fillId="0" borderId="0" xfId="40" applyNumberFormat="1" applyAlignment="1">
      <alignment horizontal="left" vertical="top"/>
      <protection locked="0"/>
    </xf>
    <xf numFmtId="0" fontId="41" fillId="0" borderId="0" xfId="96" applyFont="1" applyAlignment="1" applyProtection="1">
      <alignment horizontal="left" vertical="center"/>
      <protection locked="0"/>
    </xf>
    <xf numFmtId="0" fontId="235" fillId="0" borderId="0" xfId="96" applyFont="1" applyAlignment="1" applyProtection="1">
      <alignment horizontal="right" vertical="center"/>
      <protection locked="0"/>
    </xf>
    <xf numFmtId="0" fontId="8" fillId="0" borderId="0" xfId="96" applyAlignment="1" applyProtection="1">
      <alignment horizontal="left" vertical="center"/>
      <protection locked="0"/>
    </xf>
    <xf numFmtId="0" fontId="96" fillId="0" borderId="0" xfId="96" applyFont="1" applyAlignment="1" applyProtection="1">
      <alignment horizontal="left" vertical="top"/>
      <protection locked="0"/>
    </xf>
    <xf numFmtId="0" fontId="105" fillId="0" borderId="0" xfId="96" applyFont="1" applyAlignment="1" applyProtection="1">
      <alignment horizontal="right" vertical="center"/>
      <protection locked="0"/>
    </xf>
    <xf numFmtId="39" fontId="68" fillId="0" borderId="0" xfId="96" applyNumberFormat="1" applyFont="1" applyAlignment="1" applyProtection="1">
      <alignment horizontal="right" vertical="center"/>
      <protection locked="0"/>
    </xf>
    <xf numFmtId="39" fontId="10" fillId="0" borderId="0" xfId="96" applyNumberFormat="1" applyFont="1" applyAlignment="1" applyProtection="1">
      <alignment horizontal="right" vertical="center"/>
      <protection locked="0"/>
    </xf>
    <xf numFmtId="39" fontId="30" fillId="0" borderId="0" xfId="96" applyNumberFormat="1" applyFont="1" applyAlignment="1" applyProtection="1">
      <alignment horizontal="right" vertical="center"/>
      <protection locked="0"/>
    </xf>
    <xf numFmtId="0" fontId="234" fillId="0" borderId="0" xfId="96" applyFont="1" applyAlignment="1" applyProtection="1">
      <alignment horizontal="right" vertical="center"/>
      <protection locked="0"/>
    </xf>
    <xf numFmtId="0" fontId="107" fillId="0" borderId="0" xfId="96" applyFont="1" applyAlignment="1" applyProtection="1">
      <alignment horizontal="left" vertical="center"/>
      <protection locked="0"/>
    </xf>
    <xf numFmtId="0" fontId="266" fillId="0" borderId="0" xfId="96" applyFont="1" applyAlignment="1" applyProtection="1">
      <alignment horizontal="left" vertical="center"/>
      <protection locked="0"/>
    </xf>
    <xf numFmtId="2" fontId="104" fillId="0" borderId="0" xfId="96" applyNumberFormat="1" applyFont="1" applyAlignment="1" applyProtection="1">
      <alignment horizontal="left" vertical="center"/>
      <protection locked="0"/>
    </xf>
    <xf numFmtId="0" fontId="247" fillId="0" borderId="0" xfId="96" applyFont="1" applyAlignment="1" applyProtection="1">
      <alignment horizontal="left" vertical="center"/>
      <protection locked="0"/>
    </xf>
    <xf numFmtId="0" fontId="13" fillId="0" borderId="0" xfId="94" applyFont="1" applyAlignment="1" applyProtection="1">
      <alignment horizontal="left" vertical="center"/>
      <protection locked="0"/>
    </xf>
    <xf numFmtId="0" fontId="34" fillId="0" borderId="0" xfId="94" applyFont="1" applyAlignment="1" applyProtection="1">
      <alignment vertical="center"/>
      <protection locked="0"/>
    </xf>
    <xf numFmtId="0" fontId="13" fillId="0" borderId="0" xfId="94" applyFont="1" applyAlignment="1" applyProtection="1">
      <alignment horizontal="right" vertical="center"/>
      <protection locked="0"/>
    </xf>
    <xf numFmtId="39" fontId="73" fillId="0" borderId="0" xfId="96" applyNumberFormat="1" applyFont="1"/>
    <xf numFmtId="39" fontId="8" fillId="0" borderId="0" xfId="96" applyNumberFormat="1" applyAlignment="1" applyProtection="1">
      <alignment horizontal="left" vertical="top"/>
      <protection locked="0"/>
    </xf>
    <xf numFmtId="0" fontId="173" fillId="0" borderId="0" xfId="94" applyFont="1" applyAlignment="1" applyProtection="1">
      <alignment horizontal="left" vertical="center"/>
      <protection locked="0"/>
    </xf>
    <xf numFmtId="0" fontId="135" fillId="0" borderId="0" xfId="63" applyFont="1" applyAlignment="1" applyProtection="1">
      <alignment horizontal="left" vertical="center"/>
      <protection locked="0"/>
    </xf>
    <xf numFmtId="0" fontId="8" fillId="0" borderId="0" xfId="94" applyAlignment="1">
      <alignment vertical="center"/>
    </xf>
    <xf numFmtId="0" fontId="233" fillId="0" borderId="0" xfId="94" applyFont="1" applyAlignment="1">
      <alignment vertical="center"/>
    </xf>
    <xf numFmtId="0" fontId="105" fillId="0" borderId="0" xfId="94" applyFont="1" applyAlignment="1">
      <alignment horizontal="right" vertical="center"/>
    </xf>
    <xf numFmtId="0" fontId="248" fillId="0" borderId="0" xfId="94" applyFont="1" applyAlignment="1" applyProtection="1">
      <alignment horizontal="left" vertical="center"/>
      <protection locked="0"/>
    </xf>
    <xf numFmtId="0" fontId="249" fillId="0" borderId="0" xfId="94" applyFont="1" applyAlignment="1" applyProtection="1">
      <alignment horizontal="left" vertical="center"/>
      <protection locked="0"/>
    </xf>
    <xf numFmtId="39" fontId="105" fillId="0" borderId="0" xfId="83" applyNumberFormat="1" applyFont="1" applyAlignment="1" applyProtection="1">
      <alignment horizontal="right" vertical="center"/>
      <protection locked="0"/>
    </xf>
    <xf numFmtId="39" fontId="246" fillId="0" borderId="0" xfId="83" applyNumberFormat="1" applyFont="1" applyAlignment="1" applyProtection="1">
      <alignment horizontal="left" vertical="center"/>
      <protection locked="0"/>
    </xf>
    <xf numFmtId="39" fontId="105" fillId="0" borderId="0" xfId="83" applyNumberFormat="1" applyFont="1" applyAlignment="1" applyProtection="1">
      <alignment horizontal="left" vertical="top"/>
      <protection locked="0"/>
    </xf>
    <xf numFmtId="0" fontId="34" fillId="0" borderId="0" xfId="94" applyFont="1" applyAlignment="1" applyProtection="1">
      <alignment horizontal="left" vertical="top"/>
      <protection locked="0"/>
    </xf>
    <xf numFmtId="39" fontId="232" fillId="0" borderId="0" xfId="80" applyNumberFormat="1" applyFont="1" applyAlignment="1">
      <alignment horizontal="left" vertical="center"/>
      <protection locked="0"/>
    </xf>
    <xf numFmtId="0" fontId="73" fillId="0" borderId="0" xfId="94" applyFont="1" applyAlignment="1" applyProtection="1">
      <alignment vertical="top"/>
      <protection locked="0"/>
    </xf>
    <xf numFmtId="0" fontId="55" fillId="0" borderId="0" xfId="94" applyFont="1" applyAlignment="1" applyProtection="1">
      <alignment horizontal="right" vertical="top"/>
      <protection locked="0"/>
    </xf>
    <xf numFmtId="169" fontId="8" fillId="0" borderId="0" xfId="94" applyNumberFormat="1" applyAlignment="1" applyProtection="1">
      <alignment horizontal="left" vertical="top"/>
      <protection locked="0"/>
    </xf>
    <xf numFmtId="0" fontId="31" fillId="0" borderId="0" xfId="40" applyFont="1" applyAlignment="1">
      <alignment vertical="center"/>
      <protection locked="0"/>
    </xf>
    <xf numFmtId="0" fontId="94" fillId="0" borderId="0" xfId="40" applyFont="1" applyAlignment="1">
      <alignment vertical="top"/>
      <protection locked="0"/>
    </xf>
    <xf numFmtId="0" fontId="13" fillId="0" borderId="0" xfId="40" applyFont="1" applyAlignment="1">
      <alignment horizontal="right" vertical="center"/>
      <protection locked="0"/>
    </xf>
    <xf numFmtId="2" fontId="56" fillId="0" borderId="0" xfId="40" applyNumberFormat="1" applyFont="1" applyAlignment="1">
      <alignment horizontal="right" vertical="center"/>
      <protection locked="0"/>
    </xf>
    <xf numFmtId="39" fontId="10" fillId="0" borderId="0" xfId="40" applyNumberFormat="1" applyFont="1" applyAlignment="1">
      <alignment horizontal="left" vertical="center"/>
      <protection locked="0"/>
    </xf>
    <xf numFmtId="0" fontId="13" fillId="0" borderId="0" xfId="40" applyFont="1" applyAlignment="1">
      <alignment horizontal="left" vertical="center"/>
      <protection locked="0"/>
    </xf>
    <xf numFmtId="37" fontId="10" fillId="0" borderId="0" xfId="40" applyNumberFormat="1" applyFont="1" applyAlignment="1">
      <alignment horizontal="right" vertical="center"/>
      <protection locked="0"/>
    </xf>
    <xf numFmtId="0" fontId="10" fillId="0" borderId="0" xfId="40" applyFont="1" applyAlignment="1">
      <alignment horizontal="left" vertical="center" wrapText="1"/>
      <protection locked="0"/>
    </xf>
    <xf numFmtId="0" fontId="30" fillId="0" borderId="0" xfId="40" applyFont="1" applyAlignment="1">
      <alignment horizontal="left" vertical="center" wrapText="1"/>
      <protection locked="0"/>
    </xf>
    <xf numFmtId="2" fontId="10" fillId="0" borderId="0" xfId="40" applyNumberFormat="1" applyFont="1" applyAlignment="1">
      <alignment horizontal="right" vertical="center"/>
      <protection locked="0"/>
    </xf>
    <xf numFmtId="0" fontId="156" fillId="0" borderId="0" xfId="40" applyFont="1" applyAlignment="1">
      <alignment vertical="top"/>
      <protection locked="0"/>
    </xf>
    <xf numFmtId="0" fontId="157" fillId="0" borderId="0" xfId="40" applyFont="1" applyAlignment="1">
      <alignment horizontal="left" wrapText="1"/>
      <protection locked="0"/>
    </xf>
    <xf numFmtId="0" fontId="62" fillId="0" borderId="0" xfId="40" applyFont="1" applyAlignment="1">
      <alignment horizontal="right" vertical="top"/>
      <protection locked="0"/>
    </xf>
    <xf numFmtId="4" fontId="40" fillId="0" borderId="0" xfId="49" applyNumberFormat="1" applyAlignment="1" applyProtection="1">
      <alignment horizontal="left" vertical="center"/>
      <protection locked="0"/>
    </xf>
    <xf numFmtId="0" fontId="183" fillId="0" borderId="0" xfId="65" applyFont="1"/>
    <xf numFmtId="0" fontId="12" fillId="0" borderId="0" xfId="46" applyFont="1" applyAlignment="1">
      <alignment vertical="top"/>
      <protection locked="0"/>
    </xf>
    <xf numFmtId="0" fontId="183" fillId="0" borderId="0" xfId="25" applyFont="1" applyAlignment="1" applyProtection="1">
      <alignment horizontal="left" vertical="top"/>
      <protection locked="0"/>
    </xf>
    <xf numFmtId="0" fontId="18" fillId="0" borderId="0" xfId="25" applyFont="1" applyAlignment="1" applyProtection="1">
      <alignment horizontal="left" vertical="top"/>
      <protection locked="0"/>
    </xf>
    <xf numFmtId="0" fontId="12" fillId="0" borderId="0" xfId="47" applyFont="1" applyAlignment="1">
      <alignment horizontal="left" vertical="center"/>
      <protection locked="0"/>
    </xf>
    <xf numFmtId="0" fontId="12" fillId="0" borderId="0" xfId="47" applyFont="1" applyAlignment="1">
      <alignment horizontal="center" vertical="center"/>
      <protection locked="0"/>
    </xf>
    <xf numFmtId="0" fontId="85" fillId="0" borderId="0" xfId="47" applyFont="1" applyAlignment="1">
      <alignment horizontal="center" vertical="center"/>
      <protection locked="0"/>
    </xf>
    <xf numFmtId="0" fontId="12" fillId="0" borderId="0" xfId="47" applyFont="1" applyAlignment="1">
      <alignment horizontal="left" vertical="top"/>
      <protection locked="0"/>
    </xf>
    <xf numFmtId="0" fontId="18" fillId="0" borderId="0" xfId="47" applyFont="1" applyAlignment="1">
      <alignment horizontal="right"/>
      <protection locked="0"/>
    </xf>
    <xf numFmtId="175" fontId="85" fillId="0" borderId="0" xfId="47" applyNumberFormat="1" applyFont="1" applyAlignment="1">
      <alignment horizontal="center" vertical="center"/>
      <protection locked="0"/>
    </xf>
    <xf numFmtId="0" fontId="69" fillId="0" borderId="0" xfId="25" applyFont="1" applyAlignment="1" applyProtection="1">
      <alignment horizontal="left"/>
      <protection locked="0"/>
    </xf>
    <xf numFmtId="0" fontId="97" fillId="0" borderId="0" xfId="25" applyFont="1" applyAlignment="1" applyProtection="1">
      <alignment horizontal="right" vertical="center"/>
      <protection locked="0"/>
    </xf>
    <xf numFmtId="0" fontId="185" fillId="0" borderId="0" xfId="25" applyFont="1" applyAlignment="1" applyProtection="1">
      <alignment horizontal="left" vertical="center"/>
      <protection locked="0"/>
    </xf>
    <xf numFmtId="0" fontId="159" fillId="0" borderId="0" xfId="25" applyFont="1" applyAlignment="1" applyProtection="1">
      <alignment horizontal="left" vertical="center"/>
      <protection locked="0"/>
    </xf>
    <xf numFmtId="0" fontId="186" fillId="0" borderId="0" xfId="25" applyFont="1" applyAlignment="1" applyProtection="1">
      <alignment horizontal="left" vertical="center"/>
      <protection locked="0"/>
    </xf>
    <xf numFmtId="0" fontId="3" fillId="0" borderId="0" xfId="25" applyFont="1" applyAlignment="1" applyProtection="1">
      <alignment horizontal="left" vertical="center"/>
      <protection locked="0"/>
    </xf>
    <xf numFmtId="0" fontId="85" fillId="0" borderId="0" xfId="47" applyFont="1" applyAlignment="1">
      <alignment horizontal="left" vertical="center"/>
      <protection locked="0"/>
    </xf>
    <xf numFmtId="0" fontId="18" fillId="0" borderId="0" xfId="47" applyFont="1" applyAlignment="1">
      <alignment horizontal="right" vertical="top"/>
      <protection locked="0"/>
    </xf>
    <xf numFmtId="0" fontId="85" fillId="0" borderId="0" xfId="47" applyFont="1" applyAlignment="1">
      <alignment horizontal="left" vertical="top"/>
      <protection locked="0"/>
    </xf>
    <xf numFmtId="0" fontId="54" fillId="0" borderId="0" xfId="47" applyFont="1" applyAlignment="1">
      <alignment horizontal="left" vertical="center"/>
      <protection locked="0"/>
    </xf>
    <xf numFmtId="0" fontId="85" fillId="0" borderId="0" xfId="25" applyFont="1" applyAlignment="1" applyProtection="1">
      <alignment horizontal="left" vertical="center"/>
      <protection locked="0"/>
    </xf>
    <xf numFmtId="0" fontId="183" fillId="0" borderId="0" xfId="25" applyFont="1" applyAlignment="1" applyProtection="1">
      <alignment horizontal="left" vertical="center"/>
      <protection locked="0"/>
    </xf>
    <xf numFmtId="0" fontId="12" fillId="0" borderId="0" xfId="47" applyFont="1" applyAlignment="1">
      <alignment horizontal="right" vertical="top"/>
      <protection locked="0"/>
    </xf>
    <xf numFmtId="0" fontId="187" fillId="0" borderId="0" xfId="25" applyFont="1" applyAlignment="1" applyProtection="1">
      <alignment horizontal="left" vertical="top"/>
      <protection locked="0"/>
    </xf>
    <xf numFmtId="175" fontId="85" fillId="0" borderId="0" xfId="47" applyNumberFormat="1" applyFont="1" applyAlignment="1">
      <alignment horizontal="center" vertical="top"/>
      <protection locked="0"/>
    </xf>
    <xf numFmtId="6" fontId="12" fillId="0" borderId="0" xfId="47" applyNumberFormat="1" applyFont="1" applyAlignment="1">
      <alignment horizontal="left" vertical="top"/>
      <protection locked="0"/>
    </xf>
    <xf numFmtId="0" fontId="116" fillId="0" borderId="0" xfId="0" applyFont="1" applyAlignment="1" applyProtection="1">
      <alignment vertical="center"/>
    </xf>
    <xf numFmtId="0" fontId="272" fillId="0" borderId="0" xfId="0" applyFont="1" applyAlignment="1" applyProtection="1">
      <alignment horizontal="right"/>
    </xf>
    <xf numFmtId="0" fontId="28" fillId="0" borderId="0" xfId="0" applyFont="1" applyAlignment="1" applyProtection="1"/>
    <xf numFmtId="0" fontId="275" fillId="0" borderId="0" xfId="0" applyFont="1" applyAlignment="1" applyProtection="1"/>
    <xf numFmtId="4" fontId="41" fillId="0" borderId="0" xfId="99" applyNumberFormat="1" applyFont="1" applyAlignment="1" applyProtection="1">
      <alignment horizontal="right" vertical="center"/>
      <protection locked="0"/>
    </xf>
    <xf numFmtId="4" fontId="235" fillId="0" borderId="0" xfId="99" applyNumberFormat="1" applyFont="1" applyAlignment="1" applyProtection="1">
      <alignment horizontal="left" vertical="center"/>
      <protection locked="0"/>
    </xf>
    <xf numFmtId="0" fontId="269" fillId="0" borderId="0" xfId="99" applyFont="1"/>
    <xf numFmtId="0" fontId="96" fillId="0" borderId="0" xfId="99" applyFont="1" applyAlignment="1" applyProtection="1">
      <alignment horizontal="left"/>
      <protection locked="0"/>
    </xf>
    <xf numFmtId="0" fontId="72" fillId="0" borderId="0" xfId="99" applyFont="1" applyAlignment="1" applyProtection="1">
      <alignment horizontal="left" vertical="center"/>
      <protection locked="0"/>
    </xf>
    <xf numFmtId="0" fontId="64" fillId="0" borderId="0" xfId="99" applyFont="1" applyAlignment="1" applyProtection="1">
      <alignment horizontal="left" vertical="center"/>
      <protection locked="0"/>
    </xf>
    <xf numFmtId="0" fontId="21" fillId="0" borderId="0" xfId="0" applyFont="1" applyAlignment="1" applyProtection="1">
      <alignment horizontal="right"/>
    </xf>
    <xf numFmtId="0" fontId="21" fillId="0" borderId="0" xfId="0" applyFont="1" applyAlignment="1" applyProtection="1"/>
    <xf numFmtId="0" fontId="20" fillId="0" borderId="0" xfId="0" applyFont="1" applyAlignment="1" applyProtection="1"/>
    <xf numFmtId="0" fontId="195" fillId="0" borderId="0" xfId="99" applyFont="1" applyAlignment="1" applyProtection="1">
      <alignment horizontal="left" vertical="center"/>
      <protection locked="0"/>
    </xf>
    <xf numFmtId="0" fontId="54" fillId="0" borderId="0" xfId="99" applyFont="1" applyAlignment="1" applyProtection="1">
      <alignment horizontal="left" vertical="top"/>
      <protection locked="0"/>
    </xf>
    <xf numFmtId="0" fontId="13" fillId="0" borderId="0" xfId="99" applyFont="1" applyAlignment="1" applyProtection="1">
      <alignment horizontal="left" vertical="top"/>
      <protection locked="0"/>
    </xf>
    <xf numFmtId="0" fontId="41" fillId="0" borderId="0" xfId="99" applyFont="1" applyAlignment="1" applyProtection="1">
      <alignment horizontal="left" vertical="center"/>
      <protection locked="0"/>
    </xf>
    <xf numFmtId="0" fontId="84" fillId="0" borderId="0" xfId="99" applyFont="1" applyAlignment="1" applyProtection="1">
      <alignment horizontal="left" vertical="top"/>
      <protection locked="0"/>
    </xf>
    <xf numFmtId="0" fontId="105" fillId="0" borderId="0" xfId="0" applyFont="1" applyAlignment="1" applyProtection="1">
      <alignment vertical="center"/>
    </xf>
    <xf numFmtId="0" fontId="270" fillId="0" borderId="0" xfId="0" applyFont="1" applyAlignment="1" applyProtection="1">
      <alignment horizontal="left" vertical="center"/>
    </xf>
    <xf numFmtId="0" fontId="270" fillId="0" borderId="0" xfId="0" applyFont="1" applyAlignment="1" applyProtection="1">
      <alignment horizontal="center" vertical="center"/>
    </xf>
    <xf numFmtId="39" fontId="10" fillId="0" borderId="0" xfId="30" applyNumberFormat="1" applyFont="1" applyAlignment="1" applyProtection="1">
      <alignment horizontal="center"/>
      <protection locked="0"/>
    </xf>
    <xf numFmtId="4" fontId="116" fillId="0" borderId="0" xfId="0" applyNumberFormat="1" applyFont="1" applyAlignment="1" applyProtection="1">
      <alignment vertical="center"/>
    </xf>
    <xf numFmtId="167" fontId="101" fillId="0" borderId="125" xfId="25" applyNumberFormat="1" applyFont="1" applyBorder="1" applyAlignment="1" applyProtection="1">
      <alignment horizontal="right"/>
      <protection locked="0"/>
    </xf>
    <xf numFmtId="167" fontId="9" fillId="0" borderId="125" xfId="25" applyNumberFormat="1" applyBorder="1"/>
    <xf numFmtId="167" fontId="13" fillId="0" borderId="125" xfId="28" applyNumberFormat="1" applyBorder="1" applyAlignment="1">
      <alignment horizontal="left" vertical="top"/>
      <protection locked="0"/>
    </xf>
    <xf numFmtId="39" fontId="10" fillId="0" borderId="125" xfId="0" applyNumberFormat="1" applyFont="1" applyBorder="1" applyAlignment="1">
      <alignment horizontal="right" vertical="center"/>
      <protection locked="0"/>
    </xf>
    <xf numFmtId="39" fontId="71" fillId="0" borderId="0" xfId="88" applyNumberFormat="1" applyFont="1" applyFill="1" applyBorder="1" applyAlignment="1" applyProtection="1">
      <alignment vertical="center"/>
    </xf>
    <xf numFmtId="0" fontId="30" fillId="0" borderId="125" xfId="35" applyFont="1" applyBorder="1" applyAlignment="1">
      <alignment horizontal="left" vertical="center" wrapText="1"/>
      <protection locked="0"/>
    </xf>
    <xf numFmtId="39" fontId="39" fillId="0" borderId="125" xfId="25" applyNumberFormat="1" applyFont="1" applyBorder="1" applyAlignment="1" applyProtection="1">
      <alignment horizontal="right"/>
      <protection locked="0"/>
    </xf>
    <xf numFmtId="173" fontId="10" fillId="0" borderId="125" xfId="37" applyNumberFormat="1" applyFont="1" applyBorder="1" applyAlignment="1">
      <alignment horizontal="right"/>
    </xf>
    <xf numFmtId="37" fontId="10" fillId="0" borderId="125" xfId="37" applyNumberFormat="1" applyFont="1" applyBorder="1" applyAlignment="1">
      <alignment horizontal="right"/>
    </xf>
    <xf numFmtId="0" fontId="39" fillId="0" borderId="125" xfId="37" applyFont="1" applyBorder="1" applyAlignment="1">
      <alignment horizontal="left" wrapText="1"/>
    </xf>
    <xf numFmtId="0" fontId="10" fillId="0" borderId="125" xfId="37" applyFont="1" applyBorder="1" applyAlignment="1">
      <alignment horizontal="left" wrapText="1"/>
    </xf>
    <xf numFmtId="167" fontId="68" fillId="0" borderId="125" xfId="37" applyNumberFormat="1" applyFont="1" applyBorder="1" applyAlignment="1">
      <alignment horizontal="right" wrapText="1"/>
    </xf>
    <xf numFmtId="39" fontId="98" fillId="0" borderId="125" xfId="37" applyNumberFormat="1" applyFont="1" applyBorder="1" applyAlignment="1">
      <alignment horizontal="right"/>
    </xf>
    <xf numFmtId="1" fontId="10" fillId="0" borderId="125" xfId="37" applyNumberFormat="1" applyFont="1" applyBorder="1" applyAlignment="1">
      <alignment horizontal="right"/>
    </xf>
    <xf numFmtId="49" fontId="10" fillId="0" borderId="125" xfId="37" applyNumberFormat="1" applyFont="1" applyBorder="1" applyAlignment="1">
      <alignment horizontal="left" wrapText="1"/>
    </xf>
    <xf numFmtId="4" fontId="10" fillId="0" borderId="125" xfId="37" applyNumberFormat="1" applyFont="1" applyBorder="1" applyAlignment="1">
      <alignment horizontal="right"/>
    </xf>
    <xf numFmtId="1" fontId="30" fillId="0" borderId="125" xfId="37" applyNumberFormat="1" applyFont="1" applyBorder="1" applyAlignment="1">
      <alignment horizontal="right"/>
    </xf>
    <xf numFmtId="37" fontId="30" fillId="0" borderId="125" xfId="37" applyNumberFormat="1" applyFont="1" applyBorder="1" applyAlignment="1">
      <alignment horizontal="right"/>
    </xf>
    <xf numFmtId="167" fontId="30" fillId="0" borderId="125" xfId="37" applyNumberFormat="1" applyFont="1" applyBorder="1" applyAlignment="1">
      <alignment horizontal="right"/>
    </xf>
    <xf numFmtId="4" fontId="30" fillId="0" borderId="125" xfId="37" applyNumberFormat="1" applyFont="1" applyBorder="1" applyAlignment="1">
      <alignment horizontal="right"/>
    </xf>
    <xf numFmtId="49" fontId="10" fillId="0" borderId="30" xfId="63" applyNumberFormat="1" applyFont="1" applyBorder="1" applyAlignment="1">
      <alignment horizontal="left" wrapText="1"/>
    </xf>
    <xf numFmtId="49" fontId="11" fillId="0" borderId="30" xfId="21" applyNumberFormat="1" applyFont="1" applyBorder="1" applyAlignment="1">
      <alignment horizontal="left"/>
    </xf>
    <xf numFmtId="4" fontId="10" fillId="0" borderId="30" xfId="37" applyNumberFormat="1" applyFont="1" applyBorder="1" applyAlignment="1">
      <alignment horizontal="right"/>
    </xf>
    <xf numFmtId="1" fontId="10" fillId="0" borderId="30" xfId="63" applyNumberFormat="1" applyFont="1" applyBorder="1" applyAlignment="1">
      <alignment horizontal="right"/>
    </xf>
    <xf numFmtId="0" fontId="10" fillId="0" borderId="30" xfId="63" applyFont="1" applyBorder="1" applyAlignment="1">
      <alignment horizontal="left" wrapText="1"/>
    </xf>
    <xf numFmtId="1" fontId="10" fillId="0" borderId="30" xfId="37" applyNumberFormat="1" applyFont="1" applyBorder="1" applyAlignment="1">
      <alignment horizontal="right"/>
    </xf>
    <xf numFmtId="0" fontId="10" fillId="0" borderId="30" xfId="37" applyFont="1" applyBorder="1" applyAlignment="1">
      <alignment horizontal="left" wrapText="1"/>
    </xf>
    <xf numFmtId="49" fontId="10" fillId="0" borderId="30" xfId="37" applyNumberFormat="1" applyFont="1" applyBorder="1" applyAlignment="1">
      <alignment horizontal="left" wrapText="1"/>
    </xf>
    <xf numFmtId="0" fontId="10" fillId="0" borderId="30" xfId="37" applyFont="1" applyBorder="1" applyAlignment="1" applyProtection="1">
      <alignment horizontal="left" wrapText="1"/>
      <protection locked="0"/>
    </xf>
    <xf numFmtId="4" fontId="10" fillId="0" borderId="30" xfId="37" applyNumberFormat="1" applyFont="1" applyBorder="1" applyAlignment="1" applyProtection="1">
      <alignment horizontal="right"/>
      <protection locked="0"/>
    </xf>
    <xf numFmtId="1" fontId="30" fillId="0" borderId="30" xfId="37" applyNumberFormat="1" applyFont="1" applyBorder="1" applyAlignment="1" applyProtection="1">
      <alignment horizontal="right"/>
      <protection locked="0"/>
    </xf>
    <xf numFmtId="37" fontId="30" fillId="0" borderId="30" xfId="37" applyNumberFormat="1" applyFont="1" applyBorder="1" applyAlignment="1" applyProtection="1">
      <alignment horizontal="right"/>
      <protection locked="0"/>
    </xf>
    <xf numFmtId="0" fontId="30" fillId="0" borderId="30" xfId="37" applyFont="1" applyBorder="1" applyAlignment="1" applyProtection="1">
      <alignment horizontal="left" wrapText="1"/>
      <protection locked="0"/>
    </xf>
    <xf numFmtId="167" fontId="30" fillId="0" borderId="30" xfId="37" applyNumberFormat="1" applyFont="1" applyBorder="1" applyAlignment="1" applyProtection="1">
      <alignment horizontal="right" wrapText="1"/>
      <protection locked="0"/>
    </xf>
    <xf numFmtId="4" fontId="30" fillId="0" borderId="30" xfId="37" applyNumberFormat="1" applyFont="1" applyBorder="1" applyAlignment="1" applyProtection="1">
      <alignment horizontal="right"/>
      <protection locked="0"/>
    </xf>
    <xf numFmtId="37" fontId="10" fillId="0" borderId="15" xfId="25" applyNumberFormat="1" applyFont="1" applyBorder="1" applyAlignment="1" applyProtection="1">
      <alignment horizontal="right"/>
      <protection locked="0"/>
    </xf>
    <xf numFmtId="0" fontId="10" fillId="0" borderId="15" xfId="25" applyFont="1" applyBorder="1" applyAlignment="1" applyProtection="1">
      <alignment horizontal="left" wrapText="1"/>
      <protection locked="0"/>
    </xf>
    <xf numFmtId="39" fontId="10" fillId="0" borderId="15" xfId="25" applyNumberFormat="1" applyFont="1" applyBorder="1" applyAlignment="1" applyProtection="1">
      <alignment horizontal="right"/>
      <protection locked="0"/>
    </xf>
    <xf numFmtId="167" fontId="96" fillId="0" borderId="0" xfId="25" applyNumberFormat="1" applyFont="1" applyAlignment="1" applyProtection="1">
      <alignment horizontal="left"/>
      <protection locked="0"/>
    </xf>
    <xf numFmtId="37" fontId="10" fillId="0" borderId="30" xfId="37" applyNumberFormat="1" applyFont="1" applyBorder="1" applyAlignment="1">
      <alignment horizontal="right"/>
    </xf>
    <xf numFmtId="167" fontId="10" fillId="0" borderId="30" xfId="37" applyNumberFormat="1" applyFont="1" applyBorder="1" applyAlignment="1">
      <alignment horizontal="right"/>
    </xf>
    <xf numFmtId="37" fontId="68" fillId="0" borderId="30" xfId="37" applyNumberFormat="1" applyFont="1" applyBorder="1" applyAlignment="1">
      <alignment horizontal="right"/>
    </xf>
    <xf numFmtId="0" fontId="68" fillId="0" borderId="30" xfId="37" applyFont="1" applyBorder="1" applyAlignment="1">
      <alignment horizontal="left" wrapText="1"/>
    </xf>
    <xf numFmtId="39" fontId="68" fillId="0" borderId="30" xfId="37" applyNumberFormat="1" applyFont="1" applyBorder="1" applyAlignment="1">
      <alignment horizontal="right"/>
    </xf>
    <xf numFmtId="2" fontId="30" fillId="0" borderId="30" xfId="37" applyNumberFormat="1" applyFont="1" applyBorder="1" applyAlignment="1">
      <alignment horizontal="right"/>
    </xf>
    <xf numFmtId="2" fontId="10" fillId="0" borderId="125" xfId="40" applyNumberFormat="1" applyFont="1" applyBorder="1" applyAlignment="1">
      <alignment horizontal="right"/>
      <protection locked="0"/>
    </xf>
    <xf numFmtId="37" fontId="98" fillId="0" borderId="125" xfId="40" applyNumberFormat="1" applyFont="1" applyBorder="1" applyAlignment="1">
      <alignment horizontal="right"/>
      <protection locked="0"/>
    </xf>
    <xf numFmtId="2" fontId="30" fillId="0" borderId="125" xfId="40" applyNumberFormat="1" applyFont="1" applyBorder="1" applyAlignment="1">
      <alignment horizontal="right"/>
      <protection locked="0"/>
    </xf>
    <xf numFmtId="39" fontId="98" fillId="0" borderId="125" xfId="40" applyNumberFormat="1" applyFont="1" applyBorder="1" applyAlignment="1">
      <alignment horizontal="right"/>
      <protection locked="0"/>
    </xf>
    <xf numFmtId="2" fontId="30" fillId="0" borderId="125" xfId="25" applyNumberFormat="1" applyFont="1" applyBorder="1" applyAlignment="1" applyProtection="1">
      <alignment horizontal="right"/>
      <protection locked="0"/>
    </xf>
    <xf numFmtId="0" fontId="41" fillId="0" borderId="0" xfId="25" applyFont="1"/>
    <xf numFmtId="0" fontId="47" fillId="0" borderId="0" xfId="49" applyFont="1" applyAlignment="1">
      <alignment horizontal="center" vertical="center" wrapText="1"/>
    </xf>
    <xf numFmtId="0" fontId="49" fillId="0" borderId="0" xfId="49" applyFont="1"/>
    <xf numFmtId="39" fontId="83" fillId="0" borderId="0" xfId="25" applyNumberFormat="1" applyFont="1"/>
    <xf numFmtId="0" fontId="66" fillId="0" borderId="0" xfId="25" applyFont="1" applyAlignment="1" applyProtection="1">
      <alignment horizontal="right" vertical="top"/>
      <protection locked="0"/>
    </xf>
    <xf numFmtId="172" fontId="83" fillId="0" borderId="0" xfId="25" applyNumberFormat="1" applyFont="1"/>
    <xf numFmtId="39" fontId="9" fillId="0" borderId="0" xfId="25" applyNumberFormat="1" applyAlignment="1" applyProtection="1">
      <alignment horizontal="left" vertical="top"/>
      <protection locked="0"/>
    </xf>
    <xf numFmtId="2" fontId="117" fillId="0" borderId="0" xfId="32" applyNumberFormat="1" applyFont="1" applyAlignment="1" applyProtection="1">
      <alignment horizontal="center" vertical="center"/>
      <protection locked="0"/>
    </xf>
    <xf numFmtId="0" fontId="123" fillId="0" borderId="0" xfId="3" applyFont="1"/>
    <xf numFmtId="39" fontId="85" fillId="0" borderId="0" xfId="25" applyNumberFormat="1" applyFont="1" applyAlignment="1" applyProtection="1">
      <alignment horizontal="left" vertical="center"/>
      <protection locked="0"/>
    </xf>
    <xf numFmtId="0" fontId="73" fillId="0" borderId="0" xfId="25" applyFont="1" applyAlignment="1" applyProtection="1">
      <alignment vertical="center"/>
      <protection locked="0"/>
    </xf>
    <xf numFmtId="0" fontId="9" fillId="0" borderId="0" xfId="25" applyAlignment="1" applyProtection="1">
      <alignment horizontal="right" vertical="center"/>
      <protection locked="0"/>
    </xf>
    <xf numFmtId="2" fontId="80" fillId="0" borderId="0" xfId="69" applyNumberFormat="1" applyFont="1" applyAlignment="1" applyProtection="1">
      <alignment vertical="center"/>
      <protection locked="0"/>
    </xf>
    <xf numFmtId="2" fontId="12" fillId="0" borderId="0" xfId="69" applyNumberFormat="1" applyAlignment="1" applyProtection="1">
      <alignment horizontal="left" vertical="center"/>
      <protection locked="0"/>
    </xf>
    <xf numFmtId="2" fontId="12" fillId="0" borderId="0" xfId="69" applyNumberFormat="1" applyAlignment="1" applyProtection="1">
      <alignment horizontal="left" vertical="top"/>
      <protection locked="0"/>
    </xf>
    <xf numFmtId="0" fontId="115" fillId="0" borderId="0" xfId="69" applyFont="1" applyAlignment="1" applyProtection="1">
      <alignment horizontal="left" vertical="center"/>
      <protection locked="0"/>
    </xf>
    <xf numFmtId="0" fontId="34" fillId="0" borderId="0" xfId="25" applyFont="1"/>
    <xf numFmtId="0" fontId="150" fillId="0" borderId="0" xfId="25" applyFont="1" applyAlignment="1" applyProtection="1">
      <alignment horizontal="left" vertical="center"/>
      <protection locked="0"/>
    </xf>
    <xf numFmtId="0" fontId="97"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27" fillId="0" borderId="0" xfId="25" applyFont="1" applyAlignment="1" applyProtection="1">
      <alignment horizontal="left" vertical="center"/>
      <protection locked="0"/>
    </xf>
    <xf numFmtId="0" fontId="228" fillId="0" borderId="0" xfId="25" applyFont="1" applyAlignment="1" applyProtection="1">
      <alignment horizontal="right" vertical="center"/>
      <protection locked="0"/>
    </xf>
    <xf numFmtId="0" fontId="97" fillId="0" borderId="0" xfId="25" applyFont="1" applyAlignment="1" applyProtection="1">
      <alignment horizontal="left" vertical="top"/>
      <protection locked="0"/>
    </xf>
    <xf numFmtId="0" fontId="40" fillId="0" borderId="0" xfId="48" applyFont="1" applyAlignment="1">
      <alignment horizontal="right" vertical="center"/>
      <protection locked="0"/>
    </xf>
    <xf numFmtId="0" fontId="55" fillId="0" borderId="0" xfId="37" applyFont="1" applyAlignment="1" applyProtection="1">
      <alignment horizontal="left" vertical="top"/>
      <protection locked="0"/>
    </xf>
    <xf numFmtId="0" fontId="135" fillId="0" borderId="0" xfId="48" applyFont="1" applyAlignment="1">
      <alignment horizontal="left" vertical="center"/>
      <protection locked="0"/>
    </xf>
    <xf numFmtId="0" fontId="105" fillId="0" borderId="0" xfId="25" applyFont="1" applyAlignment="1" applyProtection="1">
      <alignment horizontal="right" vertical="center"/>
      <protection locked="0"/>
    </xf>
    <xf numFmtId="39" fontId="68" fillId="0" borderId="0" xfId="25" applyNumberFormat="1" applyFont="1" applyAlignment="1" applyProtection="1">
      <alignment horizontal="right" vertical="center"/>
      <protection locked="0"/>
    </xf>
    <xf numFmtId="39" fontId="10" fillId="0" borderId="0" xfId="25" applyNumberFormat="1" applyFont="1" applyAlignment="1" applyProtection="1">
      <alignment horizontal="right" vertical="center"/>
      <protection locked="0"/>
    </xf>
    <xf numFmtId="39" fontId="30" fillId="0" borderId="0" xfId="25" applyNumberFormat="1" applyFont="1" applyAlignment="1" applyProtection="1">
      <alignment horizontal="right" vertical="center"/>
      <protection locked="0"/>
    </xf>
    <xf numFmtId="0" fontId="97" fillId="0" borderId="0" xfId="25" applyFont="1" applyAlignment="1">
      <alignment horizontal="left" vertical="center"/>
    </xf>
    <xf numFmtId="0" fontId="150" fillId="0" borderId="0" xfId="40" applyFont="1" applyAlignment="1">
      <alignment horizontal="right" vertical="center"/>
      <protection locked="0"/>
    </xf>
    <xf numFmtId="0" fontId="231" fillId="0" borderId="0" xfId="40" applyFont="1" applyAlignment="1">
      <alignment horizontal="left" vertical="center"/>
      <protection locked="0"/>
    </xf>
    <xf numFmtId="0" fontId="135" fillId="0" borderId="0" xfId="25" applyFont="1" applyAlignment="1" applyProtection="1">
      <alignment horizontal="left" vertical="center"/>
      <protection locked="0"/>
    </xf>
    <xf numFmtId="171" fontId="96" fillId="0" borderId="0" xfId="25" applyNumberFormat="1" applyFont="1" applyAlignment="1" applyProtection="1">
      <alignment horizontal="left" vertical="top"/>
      <protection locked="0"/>
    </xf>
    <xf numFmtId="0" fontId="135" fillId="0" borderId="0" xfId="37" applyFont="1" applyAlignment="1" applyProtection="1">
      <alignment horizontal="left" vertical="center"/>
      <protection locked="0"/>
    </xf>
    <xf numFmtId="0" fontId="9" fillId="0" borderId="0" xfId="25" applyAlignment="1" applyProtection="1">
      <alignment vertical="center"/>
      <protection locked="0"/>
    </xf>
    <xf numFmtId="0" fontId="122" fillId="0" borderId="0" xfId="25" applyFont="1" applyAlignment="1">
      <alignment vertical="center"/>
    </xf>
    <xf numFmtId="0" fontId="60" fillId="0" borderId="0" xfId="25" applyFont="1" applyAlignment="1">
      <alignment horizontal="right" vertical="center"/>
    </xf>
    <xf numFmtId="0" fontId="233" fillId="0" borderId="0" xfId="25" applyFont="1" applyAlignment="1" applyProtection="1">
      <alignment horizontal="right" vertical="center"/>
      <protection locked="0"/>
    </xf>
    <xf numFmtId="0" fontId="5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105" fillId="0" borderId="0" xfId="37" applyFont="1" applyAlignment="1">
      <alignment vertical="center"/>
    </xf>
    <xf numFmtId="0" fontId="40" fillId="0" borderId="0" xfId="37" applyAlignment="1">
      <alignment vertical="center"/>
    </xf>
    <xf numFmtId="0" fontId="34" fillId="0" borderId="0" xfId="37" applyFont="1" applyAlignment="1">
      <alignment vertical="center"/>
    </xf>
    <xf numFmtId="0" fontId="23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233" fillId="0" borderId="0" xfId="25" applyFont="1" applyAlignment="1" applyProtection="1">
      <alignment horizontal="left" vertical="center"/>
      <protection locked="0"/>
    </xf>
    <xf numFmtId="0" fontId="12" fillId="0" borderId="0" xfId="8" applyAlignment="1">
      <alignment vertical="center"/>
    </xf>
    <xf numFmtId="0" fontId="135" fillId="0" borderId="0" xfId="25" applyFont="1" applyAlignment="1" applyProtection="1">
      <alignment horizontal="left" vertical="top"/>
      <protection locked="0"/>
    </xf>
    <xf numFmtId="0" fontId="236" fillId="0" borderId="0" xfId="37" applyFont="1" applyAlignment="1" applyProtection="1">
      <alignment horizontal="left" vertical="center"/>
      <protection locked="0"/>
    </xf>
    <xf numFmtId="4" fontId="9" fillId="0" borderId="0" xfId="25" applyNumberFormat="1" applyAlignment="1" applyProtection="1">
      <alignment horizontal="left" vertical="center"/>
      <protection locked="0"/>
    </xf>
    <xf numFmtId="6" fontId="9" fillId="0" borderId="0" xfId="25" applyNumberFormat="1" applyAlignment="1" applyProtection="1">
      <alignment vertical="top"/>
      <protection locked="0"/>
    </xf>
    <xf numFmtId="0" fontId="237" fillId="0" borderId="0" xfId="25" applyFont="1" applyAlignment="1" applyProtection="1">
      <alignment horizontal="left" vertical="center"/>
      <protection locked="0"/>
    </xf>
    <xf numFmtId="0" fontId="233" fillId="0" borderId="0" xfId="40" applyFont="1" applyAlignment="1">
      <alignment horizontal="left" vertical="center"/>
      <protection locked="0"/>
    </xf>
    <xf numFmtId="0" fontId="234" fillId="0" borderId="0" xfId="40" applyFont="1" applyAlignment="1">
      <alignment horizontal="right" vertical="center"/>
      <protection locked="0"/>
    </xf>
    <xf numFmtId="0" fontId="233" fillId="0" borderId="0" xfId="40" applyFont="1" applyAlignment="1">
      <alignment horizontal="right" vertical="center"/>
      <protection locked="0"/>
    </xf>
    <xf numFmtId="0" fontId="135" fillId="0" borderId="0" xfId="40" applyFont="1" applyAlignment="1">
      <alignment horizontal="left" vertical="top"/>
      <protection locked="0"/>
    </xf>
    <xf numFmtId="0" fontId="97" fillId="0" borderId="0" xfId="0" applyFont="1" applyAlignment="1" applyProtection="1">
      <alignment horizontal="left" vertical="center"/>
    </xf>
    <xf numFmtId="0" fontId="0" fillId="0" borderId="0" xfId="0" applyAlignment="1" applyProtection="1">
      <alignment vertical="center"/>
    </xf>
    <xf numFmtId="0" fontId="97" fillId="0" borderId="0" xfId="0" applyFont="1" applyAlignment="1">
      <alignment horizontal="left" vertical="center"/>
      <protection locked="0"/>
    </xf>
    <xf numFmtId="0" fontId="135" fillId="0" borderId="0" xfId="0" applyFont="1" applyAlignment="1">
      <alignment horizontal="left" vertical="top"/>
      <protection locked="0"/>
    </xf>
    <xf numFmtId="0" fontId="5" fillId="0" borderId="0" xfId="71" applyFont="1" applyAlignment="1" applyProtection="1">
      <alignment horizontal="left" vertical="top"/>
      <protection locked="0"/>
    </xf>
    <xf numFmtId="0" fontId="97" fillId="0" borderId="0" xfId="71" applyFont="1" applyAlignment="1" applyProtection="1">
      <alignment horizontal="left" vertical="center"/>
      <protection locked="0"/>
    </xf>
    <xf numFmtId="0" fontId="9" fillId="0" borderId="0" xfId="71" applyAlignment="1" applyProtection="1">
      <alignment horizontal="left" vertical="center"/>
      <protection locked="0"/>
    </xf>
    <xf numFmtId="0" fontId="5" fillId="0" borderId="0" xfId="71" applyFont="1" applyAlignment="1" applyProtection="1">
      <alignment horizontal="left" vertical="center"/>
      <protection locked="0"/>
    </xf>
    <xf numFmtId="39" fontId="9" fillId="0" borderId="0" xfId="75" applyNumberFormat="1" applyAlignment="1" applyProtection="1">
      <alignment horizontal="left" vertical="top"/>
      <protection locked="0"/>
    </xf>
    <xf numFmtId="0" fontId="97" fillId="0" borderId="0" xfId="75" applyFont="1" applyAlignment="1" applyProtection="1">
      <alignment horizontal="left" vertical="center"/>
      <protection locked="0"/>
    </xf>
    <xf numFmtId="0" fontId="97" fillId="0" borderId="0" xfId="75" applyFont="1" applyAlignment="1" applyProtection="1">
      <alignment horizontal="left" vertical="top"/>
      <protection locked="0"/>
    </xf>
    <xf numFmtId="0" fontId="243" fillId="0" borderId="0" xfId="25" applyFont="1" applyAlignment="1" applyProtection="1">
      <alignment horizontal="left" vertical="center"/>
      <protection locked="0"/>
    </xf>
    <xf numFmtId="171" fontId="235" fillId="0" borderId="0" xfId="25" applyNumberFormat="1" applyFont="1" applyAlignment="1" applyProtection="1">
      <alignment horizontal="right" vertical="center"/>
      <protection locked="0"/>
    </xf>
    <xf numFmtId="0" fontId="84" fillId="0" borderId="0" xfId="25" applyFont="1" applyAlignment="1">
      <alignment horizontal="right"/>
    </xf>
    <xf numFmtId="0" fontId="13" fillId="0" borderId="0" xfId="25" applyFont="1" applyAlignment="1" applyProtection="1">
      <alignment horizontal="right" vertical="top"/>
      <protection locked="0"/>
    </xf>
    <xf numFmtId="0" fontId="173" fillId="0" borderId="0" xfId="25" applyFont="1" applyAlignment="1" applyProtection="1">
      <alignment horizontal="left" vertical="center"/>
      <protection locked="0"/>
    </xf>
    <xf numFmtId="0" fontId="9" fillId="0" borderId="0" xfId="25" applyAlignment="1">
      <alignment vertical="top"/>
    </xf>
    <xf numFmtId="0" fontId="233" fillId="0" borderId="0" xfId="25" applyFont="1" applyAlignment="1">
      <alignment vertical="top"/>
    </xf>
    <xf numFmtId="0" fontId="244" fillId="0" borderId="0" xfId="25" applyFont="1" applyAlignment="1">
      <alignment vertical="center"/>
    </xf>
    <xf numFmtId="0" fontId="233" fillId="0" borderId="0" xfId="25" applyFont="1"/>
    <xf numFmtId="0" fontId="9" fillId="0" borderId="0" xfId="25" applyAlignment="1">
      <alignment horizontal="right"/>
    </xf>
    <xf numFmtId="0" fontId="34" fillId="0" borderId="0" xfId="25" applyFont="1" applyAlignment="1" applyProtection="1">
      <alignment vertical="top"/>
      <protection locked="0"/>
    </xf>
    <xf numFmtId="0" fontId="34" fillId="0" borderId="0" xfId="25" applyFont="1" applyAlignment="1" applyProtection="1">
      <alignment vertical="center"/>
      <protection locked="0"/>
    </xf>
    <xf numFmtId="0" fontId="238" fillId="0" borderId="0" xfId="25" applyFont="1" applyAlignment="1" applyProtection="1">
      <alignment horizontal="left" vertical="top"/>
      <protection locked="0"/>
    </xf>
    <xf numFmtId="0" fontId="245"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46" fillId="0" borderId="0" xfId="25" applyFont="1" applyAlignment="1" applyProtection="1">
      <alignment horizontal="left" vertical="center"/>
      <protection locked="0"/>
    </xf>
    <xf numFmtId="2" fontId="54" fillId="0" borderId="0" xfId="25" applyNumberFormat="1" applyFont="1" applyAlignment="1" applyProtection="1">
      <alignment horizontal="left" vertical="center"/>
      <protection locked="0"/>
    </xf>
    <xf numFmtId="167" fontId="135" fillId="0" borderId="0" xfId="25" applyNumberFormat="1" applyFont="1" applyAlignment="1" applyProtection="1">
      <alignment horizontal="left" vertical="center"/>
      <protection locked="0"/>
    </xf>
    <xf numFmtId="2" fontId="100" fillId="0" borderId="0" xfId="25" applyNumberFormat="1" applyFont="1" applyAlignment="1" applyProtection="1">
      <alignment horizontal="center" vertical="center"/>
      <protection locked="0"/>
    </xf>
    <xf numFmtId="0" fontId="6" fillId="0" borderId="0" xfId="25" applyFont="1" applyAlignment="1" applyProtection="1">
      <alignment horizontal="left" vertical="top"/>
      <protection locked="0"/>
    </xf>
    <xf numFmtId="0" fontId="97" fillId="0" borderId="0" xfId="71" applyFont="1" applyAlignment="1" applyProtection="1">
      <alignment horizontal="left" vertical="top"/>
      <protection locked="0"/>
    </xf>
    <xf numFmtId="0" fontId="96" fillId="0" borderId="0" xfId="37" applyFont="1" applyAlignment="1" applyProtection="1">
      <alignment horizontal="left" vertical="center"/>
      <protection locked="0"/>
    </xf>
    <xf numFmtId="6" fontId="9" fillId="0" borderId="0" xfId="25" applyNumberFormat="1" applyAlignment="1" applyProtection="1">
      <alignment horizontal="left" vertical="top"/>
      <protection locked="0"/>
    </xf>
    <xf numFmtId="0" fontId="173" fillId="0" borderId="0" xfId="25" applyFont="1" applyAlignment="1" applyProtection="1">
      <alignment horizontal="right" vertical="center"/>
      <protection locked="0"/>
    </xf>
    <xf numFmtId="0" fontId="96" fillId="0" borderId="0" xfId="63" applyFont="1" applyAlignment="1" applyProtection="1">
      <alignment horizontal="left" vertical="center"/>
      <protection locked="0"/>
    </xf>
    <xf numFmtId="0" fontId="247" fillId="0" borderId="0" xfId="63" applyFont="1" applyAlignment="1" applyProtection="1">
      <alignment horizontal="left" vertical="center"/>
      <protection locked="0"/>
    </xf>
    <xf numFmtId="0" fontId="247" fillId="0" borderId="0" xfId="63" applyFont="1" applyAlignment="1" applyProtection="1">
      <alignment horizontal="left" vertical="top"/>
      <protection locked="0"/>
    </xf>
    <xf numFmtId="0" fontId="18" fillId="0" borderId="0" xfId="8" applyFont="1"/>
    <xf numFmtId="0" fontId="248" fillId="0" borderId="0" xfId="25" applyFont="1" applyAlignment="1" applyProtection="1">
      <alignment horizontal="left" vertical="center"/>
      <protection locked="0"/>
    </xf>
    <xf numFmtId="0" fontId="249" fillId="0" borderId="0" xfId="25" applyFont="1" applyAlignment="1" applyProtection="1">
      <alignment horizontal="left" vertical="center"/>
      <protection locked="0"/>
    </xf>
    <xf numFmtId="0" fontId="83" fillId="0" borderId="0" xfId="28" applyFont="1" applyAlignment="1">
      <alignment horizontal="left" vertical="top"/>
      <protection locked="0"/>
    </xf>
    <xf numFmtId="0" fontId="12" fillId="0" borderId="0" xfId="8" applyAlignment="1">
      <alignment horizontal="right" vertical="center"/>
    </xf>
    <xf numFmtId="0" fontId="12" fillId="0" borderId="0" xfId="8" applyAlignment="1">
      <alignment horizontal="left" vertical="center"/>
    </xf>
    <xf numFmtId="0" fontId="146" fillId="0" borderId="0" xfId="8" applyFont="1" applyAlignment="1">
      <alignment horizontal="left" vertical="center"/>
    </xf>
    <xf numFmtId="0" fontId="249" fillId="0" borderId="0" xfId="37" applyFont="1" applyAlignment="1" applyProtection="1">
      <alignment horizontal="left" vertical="center"/>
      <protection locked="0"/>
    </xf>
    <xf numFmtId="0" fontId="54" fillId="0" borderId="0" xfId="37" applyFont="1" applyAlignment="1" applyProtection="1">
      <alignment horizontal="left" vertical="center"/>
      <protection locked="0"/>
    </xf>
    <xf numFmtId="0" fontId="233" fillId="0" borderId="0" xfId="25" applyFont="1" applyAlignment="1">
      <alignment vertical="center"/>
    </xf>
    <xf numFmtId="0" fontId="105" fillId="0" borderId="0" xfId="25" applyFont="1" applyAlignment="1">
      <alignment horizontal="right" vertical="center"/>
    </xf>
    <xf numFmtId="0" fontId="150" fillId="0" borderId="0" xfId="25" applyFont="1" applyAlignment="1" applyProtection="1">
      <alignment horizontal="right" vertical="center"/>
      <protection locked="0"/>
    </xf>
    <xf numFmtId="0" fontId="150" fillId="0" borderId="0" xfId="25" applyFont="1" applyAlignment="1" applyProtection="1">
      <alignment horizontal="left" vertical="top"/>
      <protection locked="0"/>
    </xf>
    <xf numFmtId="39" fontId="105" fillId="0" borderId="0" xfId="37" applyNumberFormat="1" applyFont="1" applyAlignment="1" applyProtection="1">
      <alignment horizontal="right" vertical="center"/>
      <protection locked="0"/>
    </xf>
    <xf numFmtId="39" fontId="246" fillId="0" borderId="0" xfId="37" applyNumberFormat="1" applyFont="1" applyAlignment="1" applyProtection="1">
      <alignment horizontal="left" vertical="center"/>
      <protection locked="0"/>
    </xf>
    <xf numFmtId="39" fontId="105" fillId="0" borderId="0" xfId="37" applyNumberFormat="1" applyFont="1" applyAlignment="1" applyProtection="1">
      <alignment horizontal="left" vertical="top"/>
      <protection locked="0"/>
    </xf>
    <xf numFmtId="37" fontId="68" fillId="0" borderId="125" xfId="34" applyNumberFormat="1" applyFont="1" applyBorder="1" applyAlignment="1" applyProtection="1">
      <alignment horizontal="right"/>
      <protection locked="0"/>
    </xf>
    <xf numFmtId="49" fontId="68" fillId="0" borderId="125" xfId="34" applyNumberFormat="1" applyFont="1" applyBorder="1" applyAlignment="1" applyProtection="1">
      <alignment horizontal="left" wrapText="1"/>
      <protection locked="0"/>
    </xf>
    <xf numFmtId="0" fontId="68" fillId="0" borderId="125" xfId="34" applyFont="1" applyBorder="1" applyAlignment="1" applyProtection="1">
      <alignment horizontal="left" wrapText="1"/>
      <protection locked="0"/>
    </xf>
    <xf numFmtId="167" fontId="30" fillId="0" borderId="125" xfId="34" applyNumberFormat="1" applyFont="1" applyBorder="1" applyAlignment="1" applyProtection="1">
      <alignment horizontal="right"/>
      <protection locked="0"/>
    </xf>
    <xf numFmtId="4" fontId="10" fillId="0" borderId="125" xfId="34" applyNumberFormat="1" applyFont="1" applyBorder="1" applyAlignment="1" applyProtection="1">
      <alignment horizontal="right"/>
      <protection locked="0"/>
    </xf>
    <xf numFmtId="0" fontId="39" fillId="0" borderId="125" xfId="71" applyFont="1" applyBorder="1" applyAlignment="1" applyProtection="1">
      <alignment horizontal="left" wrapText="1"/>
      <protection locked="0"/>
    </xf>
    <xf numFmtId="167" fontId="39" fillId="0" borderId="125" xfId="71" applyNumberFormat="1" applyFont="1" applyBorder="1" applyAlignment="1" applyProtection="1">
      <alignment horizontal="right"/>
      <protection locked="0"/>
    </xf>
    <xf numFmtId="39" fontId="39" fillId="0" borderId="125" xfId="71" applyNumberFormat="1" applyFont="1" applyBorder="1" applyAlignment="1" applyProtection="1">
      <alignment horizontal="right"/>
      <protection locked="0"/>
    </xf>
    <xf numFmtId="49" fontId="10" fillId="0" borderId="125" xfId="3" applyNumberFormat="1" applyFont="1" applyBorder="1" applyAlignment="1" applyProtection="1">
      <alignment horizontal="right" wrapText="1"/>
      <protection locked="0"/>
    </xf>
    <xf numFmtId="49" fontId="10" fillId="0" borderId="125" xfId="3" applyNumberFormat="1" applyFont="1" applyBorder="1" applyAlignment="1" applyProtection="1">
      <alignment horizontal="left" wrapText="1"/>
      <protection locked="0"/>
    </xf>
    <xf numFmtId="37" fontId="39" fillId="0" borderId="125" xfId="71" applyNumberFormat="1" applyFont="1" applyBorder="1" applyAlignment="1">
      <alignment horizontal="right"/>
    </xf>
    <xf numFmtId="0" fontId="39" fillId="0" borderId="125" xfId="71" applyFont="1" applyBorder="1" applyAlignment="1">
      <alignment horizontal="left" wrapText="1"/>
    </xf>
    <xf numFmtId="170" fontId="39" fillId="0" borderId="125" xfId="71" applyNumberFormat="1" applyFont="1" applyBorder="1" applyAlignment="1">
      <alignment horizontal="right"/>
    </xf>
    <xf numFmtId="39" fontId="39" fillId="0" borderId="125" xfId="71" applyNumberFormat="1" applyFont="1" applyBorder="1" applyAlignment="1">
      <alignment horizontal="right"/>
    </xf>
    <xf numFmtId="49" fontId="39" fillId="0" borderId="125" xfId="49" applyNumberFormat="1" applyFont="1" applyBorder="1" applyAlignment="1" applyProtection="1">
      <alignment horizontal="left" wrapText="1"/>
      <protection locked="0"/>
    </xf>
    <xf numFmtId="2" fontId="39" fillId="0" borderId="125" xfId="49" applyNumberFormat="1" applyFont="1" applyBorder="1" applyAlignment="1" applyProtection="1">
      <alignment horizontal="right"/>
      <protection locked="0"/>
    </xf>
    <xf numFmtId="0" fontId="75" fillId="0" borderId="125" xfId="32" applyFont="1" applyBorder="1" applyAlignment="1" applyProtection="1">
      <alignment horizontal="left" wrapText="1"/>
      <protection locked="0"/>
    </xf>
    <xf numFmtId="0" fontId="53" fillId="0" borderId="125" xfId="32" applyBorder="1" applyAlignment="1" applyProtection="1">
      <alignment horizontal="left" vertical="top"/>
      <protection locked="0"/>
    </xf>
    <xf numFmtId="0" fontId="10" fillId="0" borderId="125" xfId="32" applyFont="1" applyBorder="1" applyAlignment="1" applyProtection="1">
      <alignment horizontal="left" wrapText="1"/>
      <protection locked="0"/>
    </xf>
    <xf numFmtId="37" fontId="10" fillId="0" borderId="125" xfId="59" applyNumberFormat="1" applyFont="1" applyBorder="1" applyAlignment="1" applyProtection="1">
      <alignment horizontal="right"/>
      <protection locked="0"/>
    </xf>
    <xf numFmtId="0" fontId="10" fillId="0" borderId="125" xfId="59" applyFont="1" applyBorder="1" applyAlignment="1" applyProtection="1">
      <alignment horizontal="left" wrapText="1"/>
      <protection locked="0"/>
    </xf>
    <xf numFmtId="39" fontId="10" fillId="0" borderId="125" xfId="59" applyNumberFormat="1" applyFont="1" applyBorder="1" applyAlignment="1" applyProtection="1">
      <alignment horizontal="right"/>
      <protection locked="0"/>
    </xf>
    <xf numFmtId="0" fontId="30" fillId="0" borderId="125" xfId="59" applyFont="1" applyBorder="1" applyAlignment="1" applyProtection="1">
      <alignment horizontal="left" wrapText="1"/>
      <protection locked="0"/>
    </xf>
    <xf numFmtId="2" fontId="30" fillId="0" borderId="125" xfId="59" applyNumberFormat="1" applyFont="1" applyBorder="1" applyAlignment="1" applyProtection="1">
      <alignment horizontal="right"/>
      <protection locked="0"/>
    </xf>
    <xf numFmtId="37" fontId="39" fillId="0" borderId="125" xfId="71" applyNumberFormat="1" applyFont="1" applyBorder="1" applyAlignment="1" applyProtection="1">
      <alignment horizontal="right"/>
      <protection locked="0"/>
    </xf>
    <xf numFmtId="4" fontId="39" fillId="0" borderId="125" xfId="71" applyNumberFormat="1" applyFont="1" applyBorder="1" applyAlignment="1" applyProtection="1">
      <alignment horizontal="right"/>
      <protection locked="0"/>
    </xf>
    <xf numFmtId="37" fontId="10" fillId="0" borderId="125" xfId="63" applyNumberFormat="1" applyFont="1" applyBorder="1" applyAlignment="1" applyProtection="1">
      <alignment horizontal="right"/>
      <protection locked="0"/>
    </xf>
    <xf numFmtId="0" fontId="10" fillId="0" borderId="125" xfId="63" applyFont="1" applyBorder="1" applyAlignment="1" applyProtection="1">
      <alignment horizontal="left" wrapText="1"/>
      <protection locked="0"/>
    </xf>
    <xf numFmtId="39" fontId="10" fillId="0" borderId="125" xfId="63" applyNumberFormat="1" applyFont="1" applyBorder="1" applyAlignment="1" applyProtection="1">
      <alignment horizontal="right"/>
      <protection locked="0"/>
    </xf>
    <xf numFmtId="0" fontId="30" fillId="0" borderId="125" xfId="63" applyFont="1" applyBorder="1" applyAlignment="1" applyProtection="1">
      <alignment horizontal="left" wrapText="1"/>
      <protection locked="0"/>
    </xf>
    <xf numFmtId="167" fontId="30" fillId="0" borderId="125" xfId="63" applyNumberFormat="1" applyFont="1" applyBorder="1" applyAlignment="1" applyProtection="1">
      <alignment horizontal="right"/>
      <protection locked="0"/>
    </xf>
    <xf numFmtId="167" fontId="13" fillId="0" borderId="125" xfId="63" applyNumberFormat="1" applyFont="1" applyBorder="1" applyAlignment="1" applyProtection="1">
      <alignment horizontal="left" vertical="top"/>
      <protection locked="0"/>
    </xf>
    <xf numFmtId="37" fontId="10" fillId="0" borderId="30" xfId="63" applyNumberFormat="1" applyFont="1" applyBorder="1" applyAlignment="1" applyProtection="1">
      <alignment horizontal="right"/>
      <protection locked="0"/>
    </xf>
    <xf numFmtId="0" fontId="10" fillId="0" borderId="30" xfId="63" applyFont="1" applyBorder="1" applyAlignment="1" applyProtection="1">
      <alignment horizontal="left" wrapText="1"/>
      <protection locked="0"/>
    </xf>
    <xf numFmtId="39" fontId="10" fillId="0" borderId="30" xfId="63" applyNumberFormat="1" applyFont="1" applyBorder="1" applyAlignment="1" applyProtection="1">
      <alignment horizontal="right"/>
      <protection locked="0"/>
    </xf>
    <xf numFmtId="167" fontId="30" fillId="0" borderId="30" xfId="63" applyNumberFormat="1" applyFont="1" applyBorder="1" applyAlignment="1" applyProtection="1">
      <alignment horizontal="right"/>
      <protection locked="0"/>
    </xf>
    <xf numFmtId="4" fontId="10" fillId="0" borderId="30" xfId="71" applyNumberFormat="1" applyFont="1" applyBorder="1" applyAlignment="1" applyProtection="1">
      <alignment horizontal="right"/>
      <protection locked="0"/>
    </xf>
    <xf numFmtId="37" fontId="68" fillId="0" borderId="30" xfId="71" applyNumberFormat="1" applyFont="1" applyBorder="1" applyAlignment="1" applyProtection="1">
      <alignment horizontal="right"/>
      <protection locked="0"/>
    </xf>
    <xf numFmtId="0" fontId="68" fillId="0" borderId="30" xfId="71" applyFont="1" applyBorder="1" applyAlignment="1" applyProtection="1">
      <alignment horizontal="left" wrapText="1"/>
      <protection locked="0"/>
    </xf>
    <xf numFmtId="4" fontId="68" fillId="0" borderId="30" xfId="71" applyNumberFormat="1" applyFont="1" applyBorder="1" applyAlignment="1" applyProtection="1">
      <alignment horizontal="right"/>
      <protection locked="0"/>
    </xf>
    <xf numFmtId="4" fontId="39" fillId="0" borderId="30" xfId="71" applyNumberFormat="1" applyFont="1" applyBorder="1" applyAlignment="1" applyProtection="1">
      <alignment horizontal="right"/>
      <protection locked="0"/>
    </xf>
    <xf numFmtId="167" fontId="10" fillId="0" borderId="30" xfId="71" applyNumberFormat="1" applyFont="1" applyBorder="1" applyProtection="1">
      <protection locked="0"/>
    </xf>
    <xf numFmtId="4" fontId="30" fillId="0" borderId="30" xfId="71" applyNumberFormat="1" applyFont="1" applyBorder="1" applyAlignment="1" applyProtection="1">
      <alignment horizontal="right"/>
      <protection locked="0"/>
    </xf>
    <xf numFmtId="167" fontId="56" fillId="0" borderId="30" xfId="3" applyNumberFormat="1" applyFont="1" applyBorder="1" applyAlignment="1" applyProtection="1">
      <alignment horizontal="right"/>
      <protection locked="0"/>
    </xf>
    <xf numFmtId="167" fontId="30" fillId="0" borderId="30" xfId="71" applyNumberFormat="1" applyFont="1" applyBorder="1" applyProtection="1">
      <protection locked="0"/>
    </xf>
    <xf numFmtId="0" fontId="50" fillId="0" borderId="30" xfId="71" applyFont="1" applyBorder="1" applyAlignment="1" applyProtection="1">
      <alignment horizontal="left" wrapText="1"/>
      <protection locked="0"/>
    </xf>
    <xf numFmtId="4" fontId="50" fillId="0" borderId="30" xfId="71" applyNumberFormat="1" applyFont="1" applyBorder="1" applyAlignment="1" applyProtection="1">
      <alignment horizontal="right"/>
      <protection locked="0"/>
    </xf>
    <xf numFmtId="0" fontId="41" fillId="0" borderId="0" xfId="71" applyFont="1"/>
    <xf numFmtId="39" fontId="83" fillId="0" borderId="0" xfId="71" applyNumberFormat="1" applyFont="1"/>
    <xf numFmtId="0" fontId="66" fillId="0" borderId="0" xfId="71" applyFont="1" applyAlignment="1" applyProtection="1">
      <alignment horizontal="right" vertical="top"/>
      <protection locked="0"/>
    </xf>
    <xf numFmtId="0" fontId="72" fillId="0" borderId="0" xfId="71" applyFont="1" applyAlignment="1" applyProtection="1">
      <alignment horizontal="left" vertical="center"/>
      <protection locked="0"/>
    </xf>
    <xf numFmtId="172" fontId="72" fillId="0" borderId="0" xfId="71" applyNumberFormat="1" applyFont="1" applyAlignment="1">
      <alignment vertical="center"/>
    </xf>
    <xf numFmtId="39" fontId="9" fillId="0" borderId="0" xfId="71" applyNumberFormat="1" applyAlignment="1" applyProtection="1">
      <alignment horizontal="left" vertical="top"/>
      <protection locked="0"/>
    </xf>
    <xf numFmtId="4" fontId="78" fillId="0" borderId="0" xfId="71" applyNumberFormat="1" applyFont="1" applyAlignment="1" applyProtection="1">
      <alignment horizontal="center" vertical="center"/>
      <protection locked="0"/>
    </xf>
    <xf numFmtId="4" fontId="79" fillId="0" borderId="0" xfId="71" applyNumberFormat="1" applyFont="1" applyAlignment="1" applyProtection="1">
      <alignment horizontal="center" vertical="center"/>
      <protection locked="0"/>
    </xf>
    <xf numFmtId="0" fontId="108" fillId="0" borderId="0" xfId="71" applyFont="1" applyAlignment="1" applyProtection="1">
      <alignment horizontal="left" vertical="top"/>
      <protection locked="0"/>
    </xf>
    <xf numFmtId="167" fontId="111" fillId="0" borderId="0" xfId="3" applyNumberFormat="1" applyFont="1" applyAlignment="1">
      <alignment vertical="center"/>
    </xf>
    <xf numFmtId="0" fontId="111" fillId="0" borderId="0" xfId="3" applyFont="1" applyAlignment="1">
      <alignment vertical="center"/>
    </xf>
    <xf numFmtId="0" fontId="34" fillId="0" borderId="0" xfId="71" applyFont="1"/>
    <xf numFmtId="171" fontId="41" fillId="0" borderId="0" xfId="49" applyNumberFormat="1" applyFont="1" applyAlignment="1" applyProtection="1">
      <alignment horizontal="left" vertical="center"/>
      <protection locked="0"/>
    </xf>
    <xf numFmtId="0" fontId="54" fillId="0" borderId="0" xfId="32" applyFont="1" applyAlignment="1" applyProtection="1">
      <alignment horizontal="left" vertical="center"/>
      <protection locked="0"/>
    </xf>
    <xf numFmtId="0" fontId="109" fillId="0" borderId="0" xfId="32" applyFont="1" applyAlignment="1" applyProtection="1">
      <alignment horizontal="left" vertical="center"/>
      <protection locked="0"/>
    </xf>
    <xf numFmtId="0" fontId="109" fillId="0" borderId="0" xfId="32" applyFont="1" applyAlignment="1" applyProtection="1">
      <alignment horizontal="right" vertical="center"/>
      <protection locked="0"/>
    </xf>
    <xf numFmtId="167" fontId="66" fillId="0" borderId="0" xfId="32" applyNumberFormat="1" applyFont="1" applyAlignment="1" applyProtection="1">
      <alignment horizontal="left" vertical="top"/>
      <protection locked="0"/>
    </xf>
    <xf numFmtId="0" fontId="85" fillId="0" borderId="0" xfId="3" applyFont="1" applyAlignment="1">
      <alignment horizontal="right"/>
    </xf>
    <xf numFmtId="0" fontId="141" fillId="0" borderId="0" xfId="32" applyFont="1" applyAlignment="1" applyProtection="1">
      <alignment horizontal="left" vertical="center"/>
      <protection locked="0"/>
    </xf>
    <xf numFmtId="0" fontId="97" fillId="0" borderId="0" xfId="0" applyFont="1" applyAlignment="1">
      <alignment horizontal="left" vertical="top"/>
      <protection locked="0"/>
    </xf>
    <xf numFmtId="0" fontId="96" fillId="0" borderId="0" xfId="59" applyFont="1" applyAlignment="1" applyProtection="1">
      <alignment horizontal="left" vertical="top"/>
      <protection locked="0"/>
    </xf>
    <xf numFmtId="0" fontId="105" fillId="0" borderId="0" xfId="59" applyFont="1" applyAlignment="1" applyProtection="1">
      <alignment horizontal="right" vertical="center"/>
      <protection locked="0"/>
    </xf>
    <xf numFmtId="0" fontId="163" fillId="0" borderId="0" xfId="0" applyFont="1" applyAlignment="1">
      <alignment horizontal="right" vertical="center"/>
      <protection locked="0"/>
    </xf>
    <xf numFmtId="37" fontId="10" fillId="0" borderId="0" xfId="0" applyNumberFormat="1" applyFont="1" applyAlignment="1">
      <alignment horizontal="left" vertical="center"/>
      <protection locked="0"/>
    </xf>
    <xf numFmtId="0" fontId="39" fillId="0" borderId="0" xfId="0" applyFont="1" applyAlignment="1">
      <alignment horizontal="left" vertical="center" wrapText="1"/>
      <protection locked="0"/>
    </xf>
    <xf numFmtId="2" fontId="39" fillId="0" borderId="0" xfId="0" applyNumberFormat="1" applyFont="1" applyAlignment="1">
      <alignment horizontal="right" vertical="center"/>
      <protection locked="0"/>
    </xf>
    <xf numFmtId="39" fontId="39" fillId="0" borderId="0" xfId="0" applyNumberFormat="1" applyFont="1" applyAlignment="1">
      <alignment horizontal="right" vertical="center"/>
      <protection locked="0"/>
    </xf>
    <xf numFmtId="0" fontId="284" fillId="0" borderId="0" xfId="0" applyFont="1" applyAlignment="1">
      <alignment horizontal="center" vertical="center"/>
      <protection locked="0"/>
    </xf>
    <xf numFmtId="0" fontId="163" fillId="0" borderId="0" xfId="0" applyFont="1" applyAlignment="1">
      <alignment horizontal="center" vertical="center"/>
      <protection locked="0"/>
    </xf>
    <xf numFmtId="0" fontId="102" fillId="0" borderId="0" xfId="0" applyFont="1" applyAlignment="1">
      <alignment horizontal="right" vertical="center"/>
      <protection locked="0"/>
    </xf>
    <xf numFmtId="0" fontId="105" fillId="0" borderId="0" xfId="71" applyFont="1" applyAlignment="1" applyProtection="1">
      <alignment horizontal="left" vertical="top"/>
      <protection locked="0"/>
    </xf>
    <xf numFmtId="0" fontId="233" fillId="0" borderId="0" xfId="0" applyFont="1" applyAlignment="1">
      <alignment horizontal="right" vertical="center"/>
      <protection locked="0"/>
    </xf>
    <xf numFmtId="0" fontId="239" fillId="0" borderId="0" xfId="25" applyFont="1" applyAlignment="1" applyProtection="1">
      <alignment horizontal="left" vertical="center"/>
      <protection locked="0"/>
    </xf>
    <xf numFmtId="0" fontId="239" fillId="0" borderId="0" xfId="25" applyFont="1" applyAlignment="1" applyProtection="1">
      <alignment horizontal="left" vertical="top"/>
      <protection locked="0"/>
    </xf>
    <xf numFmtId="0" fontId="240" fillId="0" borderId="0" xfId="25" applyFont="1" applyAlignment="1" applyProtection="1">
      <alignment horizontal="left" vertical="top"/>
      <protection locked="0"/>
    </xf>
    <xf numFmtId="0" fontId="55" fillId="0" borderId="0" xfId="71" applyFont="1" applyAlignment="1" applyProtection="1">
      <alignment horizontal="center" vertical="top"/>
      <protection locked="0"/>
    </xf>
    <xf numFmtId="167" fontId="55" fillId="0" borderId="0" xfId="71" applyNumberFormat="1" applyFont="1" applyAlignment="1" applyProtection="1">
      <alignment horizontal="center" vertical="top"/>
      <protection locked="0"/>
    </xf>
    <xf numFmtId="39" fontId="12" fillId="0" borderId="0" xfId="3" applyNumberFormat="1"/>
    <xf numFmtId="4" fontId="12" fillId="0" borderId="0" xfId="3" applyNumberFormat="1"/>
    <xf numFmtId="2" fontId="13" fillId="0" borderId="0" xfId="63" applyNumberFormat="1" applyFont="1" applyAlignment="1" applyProtection="1">
      <alignment horizontal="left" vertical="top"/>
      <protection locked="0"/>
    </xf>
    <xf numFmtId="0" fontId="97" fillId="0" borderId="0" xfId="63" applyFont="1" applyAlignment="1" applyProtection="1">
      <alignment horizontal="left" vertical="center"/>
      <protection locked="0"/>
    </xf>
    <xf numFmtId="0" fontId="54" fillId="0" borderId="0" xfId="63" applyFont="1" applyAlignment="1" applyProtection="1">
      <alignment horizontal="left" vertical="top"/>
      <protection locked="0"/>
    </xf>
    <xf numFmtId="167" fontId="49" fillId="0" borderId="0" xfId="71" applyNumberFormat="1" applyFont="1" applyAlignment="1" applyProtection="1">
      <alignment horizontal="left" vertical="center"/>
      <protection locked="0"/>
    </xf>
    <xf numFmtId="0" fontId="85" fillId="0" borderId="0" xfId="3" applyFont="1" applyAlignment="1">
      <alignment horizontal="right" vertical="center"/>
    </xf>
    <xf numFmtId="0" fontId="83" fillId="0" borderId="0" xfId="71" applyFont="1" applyAlignment="1" applyProtection="1">
      <alignment horizontal="left" vertical="center"/>
      <protection locked="0"/>
    </xf>
    <xf numFmtId="0" fontId="41" fillId="0" borderId="0" xfId="71" applyFont="1" applyAlignment="1" applyProtection="1">
      <alignment horizontal="left" vertical="center"/>
      <protection locked="0"/>
    </xf>
    <xf numFmtId="6" fontId="9" fillId="0" borderId="0" xfId="71" applyNumberFormat="1" applyAlignment="1" applyProtection="1">
      <alignment horizontal="left" vertical="center"/>
      <protection locked="0"/>
    </xf>
    <xf numFmtId="167" fontId="13" fillId="0" borderId="125" xfId="0" applyNumberFormat="1" applyFont="1" applyBorder="1" applyAlignment="1">
      <alignment horizontal="left" vertical="top"/>
      <protection locked="0"/>
    </xf>
    <xf numFmtId="0" fontId="30" fillId="0" borderId="125" xfId="59" applyFont="1" applyBorder="1" applyAlignment="1" applyProtection="1">
      <alignment horizontal="left" vertical="center" wrapText="1"/>
      <protection locked="0"/>
    </xf>
    <xf numFmtId="0" fontId="45" fillId="0" borderId="125" xfId="48" applyFont="1" applyBorder="1" applyAlignment="1">
      <alignment horizontal="left" vertical="center" wrapText="1"/>
      <protection locked="0"/>
    </xf>
    <xf numFmtId="0" fontId="39" fillId="0" borderId="125" xfId="0" applyFont="1" applyBorder="1" applyAlignment="1">
      <alignment horizontal="left" vertical="center"/>
      <protection locked="0"/>
    </xf>
    <xf numFmtId="170" fontId="18" fillId="0" borderId="125" xfId="0" applyNumberFormat="1" applyFont="1" applyBorder="1" applyAlignment="1" applyProtection="1">
      <alignment horizontal="left"/>
    </xf>
    <xf numFmtId="170" fontId="39" fillId="0" borderId="125" xfId="0" applyNumberFormat="1" applyFont="1" applyBorder="1" applyAlignment="1" applyProtection="1">
      <alignment horizontal="right"/>
    </xf>
    <xf numFmtId="0" fontId="236" fillId="0" borderId="0" xfId="0" applyFont="1" applyAlignment="1">
      <alignment horizontal="left" vertical="center"/>
      <protection locked="0"/>
    </xf>
    <xf numFmtId="0" fontId="18" fillId="0" borderId="0" xfId="0" applyFont="1" applyAlignment="1" applyProtection="1">
      <alignment horizontal="left"/>
    </xf>
    <xf numFmtId="0" fontId="280" fillId="0" borderId="0" xfId="0" applyFont="1" applyAlignment="1">
      <alignment horizontal="left" vertical="center"/>
      <protection locked="0"/>
    </xf>
    <xf numFmtId="0" fontId="78" fillId="0" borderId="0" xfId="0" applyFont="1" applyAlignment="1" applyProtection="1"/>
    <xf numFmtId="0" fontId="85" fillId="0" borderId="0" xfId="0" applyFont="1" applyAlignment="1" applyProtection="1">
      <alignment horizontal="left"/>
    </xf>
    <xf numFmtId="0" fontId="281" fillId="0" borderId="68" xfId="0" applyFont="1" applyBorder="1" applyAlignment="1" applyProtection="1">
      <alignment horizontal="left" vertical="center"/>
    </xf>
    <xf numFmtId="2" fontId="84" fillId="0" borderId="0" xfId="0" applyNumberFormat="1" applyFont="1" applyAlignment="1">
      <alignment horizontal="left" vertical="center"/>
      <protection locked="0"/>
    </xf>
    <xf numFmtId="0" fontId="18" fillId="0" borderId="0" xfId="0" applyFont="1" applyAlignment="1">
      <alignment horizontal="left" vertical="top"/>
      <protection locked="0"/>
    </xf>
    <xf numFmtId="0" fontId="54" fillId="0" borderId="0" xfId="0" applyFont="1" applyAlignment="1">
      <alignment vertical="center"/>
      <protection locked="0"/>
    </xf>
    <xf numFmtId="6" fontId="29" fillId="0" borderId="0" xfId="0" applyNumberFormat="1" applyFont="1" applyAlignment="1">
      <alignment horizontal="left" vertical="center"/>
      <protection locked="0"/>
    </xf>
    <xf numFmtId="6" fontId="146" fillId="0" borderId="0" xfId="0" applyNumberFormat="1" applyFont="1" applyAlignment="1">
      <alignment horizontal="right" vertical="top"/>
      <protection locked="0"/>
    </xf>
    <xf numFmtId="0" fontId="45" fillId="0" borderId="0" xfId="0" applyFont="1" applyAlignment="1">
      <alignment vertical="center"/>
      <protection locked="0"/>
    </xf>
    <xf numFmtId="0" fontId="234" fillId="0" borderId="0" xfId="0" applyFont="1" applyAlignment="1">
      <alignment horizontal="left" vertical="center"/>
      <protection locked="0"/>
    </xf>
    <xf numFmtId="0" fontId="85" fillId="0" borderId="0" xfId="0" applyFont="1" applyAlignment="1">
      <alignment horizontal="left" vertical="top" wrapText="1"/>
      <protection locked="0"/>
    </xf>
    <xf numFmtId="0" fontId="18" fillId="0" borderId="0" xfId="0" applyFont="1" applyAlignment="1">
      <alignment horizontal="right" vertical="top"/>
      <protection locked="0"/>
    </xf>
    <xf numFmtId="0" fontId="301" fillId="0" borderId="0" xfId="0" applyFont="1" applyAlignment="1">
      <alignment horizontal="left" vertical="top"/>
      <protection locked="0"/>
    </xf>
    <xf numFmtId="0" fontId="78" fillId="0" borderId="0" xfId="0" applyFont="1" applyAlignment="1">
      <alignment horizontal="left" vertical="top"/>
      <protection locked="0"/>
    </xf>
    <xf numFmtId="0" fontId="54" fillId="0" borderId="0" xfId="0" applyFont="1" applyAlignment="1" applyProtection="1">
      <alignment vertical="center"/>
    </xf>
    <xf numFmtId="0" fontId="150" fillId="0" borderId="0" xfId="0" applyFont="1" applyAlignment="1">
      <alignment horizontal="left" vertical="center"/>
      <protection locked="0"/>
    </xf>
    <xf numFmtId="0" fontId="233" fillId="0" borderId="0" xfId="0" applyFont="1" applyAlignment="1" applyProtection="1">
      <alignment vertical="center"/>
    </xf>
    <xf numFmtId="0" fontId="61" fillId="0" borderId="0" xfId="0" applyFont="1" applyAlignment="1">
      <alignment horizontal="left" vertical="top"/>
      <protection locked="0"/>
    </xf>
    <xf numFmtId="0" fontId="105" fillId="0" borderId="0" xfId="0" applyFont="1" applyAlignment="1">
      <alignment horizontal="right" vertical="center"/>
      <protection locked="0"/>
    </xf>
    <xf numFmtId="0" fontId="245" fillId="0" borderId="0" xfId="0" applyFont="1" applyAlignment="1">
      <alignment horizontal="left" vertical="center"/>
      <protection locked="0"/>
    </xf>
    <xf numFmtId="0" fontId="61" fillId="0" borderId="0" xfId="0" applyFont="1" applyAlignment="1" applyProtection="1">
      <alignment vertical="top"/>
    </xf>
    <xf numFmtId="0" fontId="69" fillId="0" borderId="0" xfId="0" applyFont="1" applyAlignment="1" applyProtection="1"/>
    <xf numFmtId="0" fontId="18" fillId="0" borderId="0" xfId="0" applyFont="1" applyAlignment="1">
      <alignment horizontal="right"/>
      <protection locked="0"/>
    </xf>
    <xf numFmtId="0" fontId="10" fillId="0" borderId="0" xfId="0" applyFont="1" applyAlignment="1">
      <alignment horizontal="left" vertical="top"/>
      <protection locked="0"/>
    </xf>
    <xf numFmtId="0" fontId="84" fillId="0" borderId="0" xfId="0" applyFont="1" applyAlignment="1">
      <alignment horizontal="right" vertical="center"/>
      <protection locked="0"/>
    </xf>
    <xf numFmtId="0" fontId="84" fillId="0" borderId="0" xfId="0" applyFont="1" applyAlignment="1">
      <alignment horizontal="right" vertical="top"/>
      <protection locked="0"/>
    </xf>
    <xf numFmtId="0" fontId="85" fillId="0" borderId="0" xfId="0" applyFont="1" applyAlignment="1">
      <alignment horizontal="right" vertical="top"/>
      <protection locked="0"/>
    </xf>
    <xf numFmtId="0" fontId="84" fillId="0" borderId="0" xfId="0" applyFont="1" applyAlignment="1">
      <alignment horizontal="left" vertical="top"/>
      <protection locked="0"/>
    </xf>
    <xf numFmtId="39" fontId="235" fillId="0" borderId="0" xfId="63" applyNumberFormat="1" applyFont="1" applyAlignment="1" applyProtection="1">
      <alignment horizontal="right" vertical="center"/>
      <protection locked="0"/>
    </xf>
    <xf numFmtId="4" fontId="83" fillId="0" borderId="0" xfId="0" applyNumberFormat="1" applyFont="1" applyAlignment="1">
      <alignment horizontal="left" vertical="center"/>
      <protection locked="0"/>
    </xf>
    <xf numFmtId="0" fontId="84" fillId="0" borderId="0" xfId="68" applyFont="1" applyAlignment="1">
      <alignment horizontal="left" vertical="center"/>
      <protection locked="0"/>
    </xf>
    <xf numFmtId="0" fontId="18" fillId="0" borderId="0" xfId="68" applyFont="1" applyAlignment="1">
      <alignment horizontal="left" vertical="center"/>
      <protection locked="0"/>
    </xf>
    <xf numFmtId="0" fontId="54" fillId="0" borderId="0" xfId="68" applyFont="1" applyAlignment="1">
      <alignment horizontal="left" vertical="center"/>
      <protection locked="0"/>
    </xf>
    <xf numFmtId="0" fontId="69" fillId="0" borderId="0" xfId="68" applyAlignment="1" applyProtection="1">
      <alignment vertical="center"/>
    </xf>
    <xf numFmtId="0" fontId="18" fillId="0" borderId="0" xfId="68" applyFont="1" applyAlignment="1" applyProtection="1">
      <alignment horizontal="left" vertical="center"/>
    </xf>
    <xf numFmtId="0" fontId="69" fillId="0" borderId="0" xfId="68" applyAlignment="1">
      <alignment horizontal="left" vertical="center"/>
      <protection locked="0"/>
    </xf>
    <xf numFmtId="0" fontId="255" fillId="0" borderId="0" xfId="68" applyFont="1" applyAlignment="1">
      <alignment horizontal="right" vertical="center"/>
      <protection locked="0"/>
    </xf>
    <xf numFmtId="0" fontId="84" fillId="0" borderId="0" xfId="68" applyFont="1" applyAlignment="1">
      <alignment horizontal="right" vertical="center"/>
      <protection locked="0"/>
    </xf>
    <xf numFmtId="0" fontId="123" fillId="0" borderId="0" xfId="68" applyFont="1" applyAlignment="1">
      <alignment horizontal="center" vertical="center"/>
      <protection locked="0"/>
    </xf>
    <xf numFmtId="0" fontId="85" fillId="0" borderId="0" xfId="0" applyFont="1" applyAlignment="1">
      <alignment horizontal="left" vertical="top"/>
      <protection locked="0"/>
    </xf>
    <xf numFmtId="49" fontId="163" fillId="0" borderId="69" xfId="68" applyNumberFormat="1" applyFont="1" applyBorder="1" applyAlignment="1">
      <alignment horizontal="right" vertical="center" wrapText="1"/>
      <protection locked="0"/>
    </xf>
    <xf numFmtId="0" fontId="163" fillId="0" borderId="0" xfId="68" applyFont="1" applyAlignment="1">
      <alignment vertical="center"/>
      <protection locked="0"/>
    </xf>
    <xf numFmtId="0" fontId="69" fillId="0" borderId="0" xfId="68" applyAlignment="1">
      <alignment horizontal="right" vertical="center"/>
      <protection locked="0"/>
    </xf>
    <xf numFmtId="0" fontId="69" fillId="0" borderId="0" xfId="68" applyAlignment="1">
      <alignment horizontal="center" vertical="center"/>
      <protection locked="0"/>
    </xf>
    <xf numFmtId="39" fontId="68" fillId="0" borderId="0" xfId="0" applyNumberFormat="1" applyFont="1" applyAlignment="1">
      <alignment horizontal="right" vertical="center"/>
      <protection locked="0"/>
    </xf>
    <xf numFmtId="39" fontId="30" fillId="0" borderId="0" xfId="0" applyNumberFormat="1" applyFont="1" applyAlignment="1">
      <alignment horizontal="right" vertical="center"/>
      <protection locked="0"/>
    </xf>
    <xf numFmtId="0" fontId="18" fillId="0" borderId="0" xfId="0" applyFont="1" applyAlignment="1">
      <alignment horizontal="left" vertical="center"/>
      <protection locked="0"/>
    </xf>
    <xf numFmtId="0" fontId="84" fillId="0" borderId="0" xfId="0" applyFont="1" applyAlignment="1">
      <alignment horizontal="left" vertical="center"/>
      <protection locked="0"/>
    </xf>
    <xf numFmtId="0" fontId="84" fillId="0" borderId="0" xfId="0" applyFont="1" applyAlignment="1">
      <alignment vertical="center"/>
      <protection locked="0"/>
    </xf>
    <xf numFmtId="0" fontId="247" fillId="0" borderId="0" xfId="0" applyFont="1" applyAlignment="1">
      <alignment horizontal="left" vertical="center"/>
      <protection locked="0"/>
    </xf>
    <xf numFmtId="0" fontId="18" fillId="0" borderId="0" xfId="68" applyFont="1" applyAlignment="1">
      <alignment horizontal="left" vertical="top"/>
      <protection locked="0"/>
    </xf>
    <xf numFmtId="0" fontId="233" fillId="0" borderId="0" xfId="0" applyFont="1" applyAlignment="1" applyProtection="1"/>
    <xf numFmtId="0" fontId="97" fillId="0" borderId="0" xfId="0" applyFont="1" applyAlignment="1" applyProtection="1">
      <alignment horizontal="right"/>
    </xf>
    <xf numFmtId="0" fontId="54" fillId="0" borderId="0" xfId="0" applyFont="1" applyAlignment="1" applyProtection="1">
      <alignment horizontal="left" vertical="center"/>
    </xf>
    <xf numFmtId="0" fontId="84" fillId="0" borderId="0" xfId="0" applyFont="1" applyAlignment="1" applyProtection="1">
      <alignment vertical="center"/>
    </xf>
    <xf numFmtId="49" fontId="123" fillId="0" borderId="0" xfId="68" applyNumberFormat="1" applyFont="1" applyAlignment="1">
      <alignment horizontal="center" vertical="center"/>
      <protection locked="0"/>
    </xf>
    <xf numFmtId="0" fontId="97" fillId="0" borderId="0" xfId="0" applyFont="1" applyAlignment="1" applyProtection="1">
      <alignment horizontal="right" vertical="center"/>
    </xf>
    <xf numFmtId="0" fontId="10" fillId="0" borderId="0" xfId="68" applyFont="1" applyAlignment="1" applyProtection="1">
      <alignment horizontal="center" vertical="top"/>
    </xf>
    <xf numFmtId="0" fontId="98" fillId="0" borderId="0" xfId="0" applyFont="1" applyAlignment="1">
      <alignment horizontal="center" vertical="top"/>
      <protection locked="0"/>
    </xf>
    <xf numFmtId="0" fontId="97" fillId="0" borderId="0" xfId="0" applyFont="1" applyAlignment="1" applyProtection="1">
      <alignment vertical="center"/>
    </xf>
    <xf numFmtId="0" fontId="85" fillId="0" borderId="0" xfId="68" applyFont="1" applyAlignment="1">
      <alignment horizontal="center" vertical="center"/>
      <protection locked="0"/>
    </xf>
    <xf numFmtId="169" fontId="54" fillId="0" borderId="0" xfId="0" applyNumberFormat="1" applyFont="1" applyAlignment="1">
      <alignment vertical="center"/>
      <protection locked="0"/>
    </xf>
    <xf numFmtId="0" fontId="136" fillId="0" borderId="0" xfId="68" applyFont="1" applyAlignment="1">
      <alignment horizontal="center" vertical="center"/>
      <protection locked="0"/>
    </xf>
    <xf numFmtId="0" fontId="136" fillId="0" borderId="0" xfId="68" applyFont="1" applyAlignment="1">
      <alignment horizontal="left" vertical="center"/>
      <protection locked="0"/>
    </xf>
    <xf numFmtId="49" fontId="123" fillId="0" borderId="0" xfId="68" applyNumberFormat="1" applyFont="1" applyAlignment="1">
      <alignment horizontal="right" vertical="center"/>
      <protection locked="0"/>
    </xf>
    <xf numFmtId="0" fontId="232" fillId="0" borderId="0" xfId="97" applyFont="1" applyAlignment="1" applyProtection="1">
      <alignment horizontal="left" vertical="center"/>
      <protection locked="0"/>
    </xf>
    <xf numFmtId="6" fontId="55" fillId="0" borderId="0" xfId="97" applyNumberFormat="1" applyFont="1" applyAlignment="1" applyProtection="1">
      <alignment horizontal="left" vertical="top"/>
      <protection locked="0"/>
    </xf>
    <xf numFmtId="0" fontId="54" fillId="0" borderId="0" xfId="0" applyFont="1" applyAlignment="1" applyProtection="1">
      <alignment horizontal="right"/>
    </xf>
    <xf numFmtId="0" fontId="84" fillId="0" borderId="0" xfId="0" applyFont="1" applyAlignment="1" applyProtection="1">
      <alignment horizontal="right"/>
    </xf>
    <xf numFmtId="0" fontId="69" fillId="0" borderId="0" xfId="0" applyFont="1" applyAlignment="1">
      <alignment horizontal="right" vertical="top"/>
      <protection locked="0"/>
    </xf>
    <xf numFmtId="171" fontId="54" fillId="0" borderId="0" xfId="0" applyNumberFormat="1" applyFont="1" applyAlignment="1">
      <alignment vertical="center"/>
      <protection locked="0"/>
    </xf>
    <xf numFmtId="0" fontId="69" fillId="0" borderId="0" xfId="0" applyFont="1" applyAlignment="1" applyProtection="1">
      <alignment horizontal="right"/>
    </xf>
    <xf numFmtId="2" fontId="97" fillId="0" borderId="0" xfId="0" applyNumberFormat="1" applyFont="1" applyAlignment="1" applyProtection="1">
      <alignment vertical="center"/>
    </xf>
    <xf numFmtId="0" fontId="54" fillId="0" borderId="0" xfId="0" applyFont="1" applyAlignment="1" applyProtection="1">
      <alignment horizontal="right" vertical="center"/>
    </xf>
    <xf numFmtId="0" fontId="69" fillId="0" borderId="0" xfId="0" applyFont="1" applyAlignment="1" applyProtection="1">
      <alignment vertical="center"/>
    </xf>
    <xf numFmtId="9" fontId="0" fillId="0" borderId="0" xfId="0" applyNumberFormat="1" applyAlignment="1" applyProtection="1">
      <alignment horizontal="right" vertical="center"/>
    </xf>
    <xf numFmtId="0" fontId="84" fillId="0" borderId="0" xfId="0" applyFont="1" applyAlignment="1" applyProtection="1"/>
    <xf numFmtId="0" fontId="84" fillId="0" borderId="0" xfId="0" applyFont="1" applyAlignment="1" applyProtection="1">
      <alignment horizontal="right" vertical="center"/>
    </xf>
    <xf numFmtId="0" fontId="18" fillId="0" borderId="0" xfId="28" applyFont="1" applyAlignment="1">
      <alignment horizontal="left" vertical="top"/>
      <protection locked="0"/>
    </xf>
    <xf numFmtId="39" fontId="10" fillId="0" borderId="0" xfId="0" applyNumberFormat="1" applyFont="1" applyAlignment="1">
      <alignment horizontal="center" vertical="top"/>
      <protection locked="0"/>
    </xf>
    <xf numFmtId="0" fontId="69"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9" fillId="0" borderId="0" xfId="0" applyFont="1" applyAlignment="1" applyProtection="1">
      <alignment horizontal="right" vertical="center"/>
    </xf>
    <xf numFmtId="0" fontId="0" fillId="0" borderId="0" xfId="0" applyAlignment="1" applyProtection="1">
      <alignment horizontal="right" vertical="center"/>
    </xf>
    <xf numFmtId="0" fontId="288" fillId="0" borderId="0" xfId="0" applyFont="1" applyAlignment="1">
      <alignment horizontal="left" vertical="top"/>
      <protection locked="0"/>
    </xf>
    <xf numFmtId="0" fontId="10" fillId="0" borderId="0" xfId="0" applyFont="1" applyAlignment="1" applyProtection="1">
      <alignment horizontal="center" vertical="top"/>
    </xf>
    <xf numFmtId="2" fontId="156" fillId="0" borderId="0" xfId="0" applyNumberFormat="1" applyFont="1" applyAlignment="1" applyProtection="1">
      <alignment horizontal="center" vertical="center"/>
    </xf>
    <xf numFmtId="0" fontId="32" fillId="0" borderId="0" xfId="0" applyFont="1" applyAlignment="1" applyProtection="1"/>
    <xf numFmtId="2" fontId="0" fillId="0" borderId="0" xfId="0" applyNumberFormat="1" applyAlignment="1" applyProtection="1">
      <alignment horizontal="center" vertical="top"/>
    </xf>
    <xf numFmtId="0" fontId="166" fillId="0" borderId="0" xfId="0" applyFont="1" applyAlignment="1">
      <alignment horizontal="left" vertical="top"/>
      <protection locked="0"/>
    </xf>
    <xf numFmtId="0" fontId="12" fillId="0" borderId="0" xfId="0" applyFont="1" applyAlignment="1" applyProtection="1">
      <alignment horizontal="center" vertical="top"/>
    </xf>
    <xf numFmtId="2" fontId="12" fillId="0" borderId="0" xfId="0" applyNumberFormat="1" applyFont="1" applyAlignment="1" applyProtection="1">
      <alignment horizontal="center" vertical="top"/>
    </xf>
    <xf numFmtId="2" fontId="12" fillId="0" borderId="0" xfId="0" applyNumberFormat="1" applyFont="1" applyAlignment="1" applyProtection="1">
      <alignment horizontal="center" vertical="center"/>
    </xf>
    <xf numFmtId="0" fontId="303" fillId="0" borderId="0" xfId="0" applyFont="1" applyAlignment="1">
      <alignment horizontal="left" vertical="center"/>
      <protection locked="0"/>
    </xf>
    <xf numFmtId="0" fontId="83" fillId="0" borderId="0" xfId="0" applyFont="1" applyAlignment="1">
      <alignment horizontal="left" vertical="top"/>
      <protection locked="0"/>
    </xf>
    <xf numFmtId="0" fontId="18" fillId="0" borderId="0" xfId="0" applyFont="1" applyAlignment="1" applyProtection="1">
      <alignment horizontal="left" vertical="center"/>
    </xf>
    <xf numFmtId="0" fontId="288" fillId="0" borderId="0" xfId="0" applyFont="1" applyAlignment="1">
      <alignment horizontal="left" vertical="center"/>
      <protection locked="0"/>
    </xf>
    <xf numFmtId="0" fontId="97" fillId="0" borderId="0" xfId="0" applyFont="1" applyAlignment="1">
      <alignment horizontal="right" vertical="center"/>
      <protection locked="0"/>
    </xf>
    <xf numFmtId="0" fontId="13" fillId="0" borderId="0" xfId="28" applyAlignment="1">
      <alignment horizontal="left"/>
      <protection locked="0"/>
    </xf>
    <xf numFmtId="0" fontId="13" fillId="0" borderId="0" xfId="28" applyAlignment="1">
      <alignment horizontal="right"/>
      <protection locked="0"/>
    </xf>
    <xf numFmtId="0" fontId="124" fillId="0" borderId="0" xfId="0" applyFont="1" applyAlignment="1" applyProtection="1">
      <alignment horizontal="left"/>
    </xf>
    <xf numFmtId="0" fontId="84" fillId="0" borderId="0" xfId="28" applyFont="1" applyAlignment="1">
      <alignment horizontal="right"/>
      <protection locked="0"/>
    </xf>
    <xf numFmtId="0" fontId="85" fillId="0" borderId="0" xfId="0" applyFont="1" applyAlignment="1">
      <alignment horizontal="center" vertical="top"/>
      <protection locked="0"/>
    </xf>
    <xf numFmtId="0" fontId="18" fillId="0" borderId="0" xfId="0" applyFont="1" applyAlignment="1" applyProtection="1">
      <alignment horizontal="right"/>
    </xf>
    <xf numFmtId="0" fontId="84" fillId="0" borderId="0" xfId="0" applyFont="1" applyAlignment="1">
      <alignment horizontal="left"/>
      <protection locked="0"/>
    </xf>
    <xf numFmtId="0" fontId="39" fillId="0" borderId="0" xfId="0" applyFont="1" applyAlignment="1" applyProtection="1">
      <alignment horizontal="left" vertical="center"/>
    </xf>
    <xf numFmtId="171" fontId="18" fillId="0" borderId="0" xfId="0" applyNumberFormat="1" applyFont="1" applyAlignment="1">
      <alignment horizontal="left" vertical="top"/>
      <protection locked="0"/>
    </xf>
    <xf numFmtId="3" fontId="305" fillId="0" borderId="0" xfId="0" applyNumberFormat="1" applyFont="1" applyAlignment="1">
      <alignment horizontal="left" vertical="center"/>
      <protection locked="0"/>
    </xf>
    <xf numFmtId="3" fontId="138" fillId="0" borderId="0" xfId="0" applyNumberFormat="1" applyFont="1" applyAlignment="1">
      <alignment horizontal="left" vertical="center"/>
      <protection locked="0"/>
    </xf>
    <xf numFmtId="0" fontId="39" fillId="0" borderId="0" xfId="0" applyFont="1" applyAlignment="1" applyProtection="1">
      <alignment horizontal="right"/>
    </xf>
    <xf numFmtId="0" fontId="138" fillId="0" borderId="0" xfId="0" applyFont="1" applyAlignment="1">
      <alignment horizontal="left" vertical="center"/>
      <protection locked="0"/>
    </xf>
    <xf numFmtId="0" fontId="146" fillId="0" borderId="0" xfId="0" applyFont="1" applyAlignment="1" applyProtection="1">
      <alignment horizontal="right" vertical="center"/>
    </xf>
    <xf numFmtId="0" fontId="64" fillId="0" borderId="0" xfId="28" applyFont="1" applyAlignment="1">
      <alignment horizontal="left" vertical="center"/>
      <protection locked="0"/>
    </xf>
    <xf numFmtId="0" fontId="64" fillId="0" borderId="0" xfId="0" applyFont="1" applyAlignment="1">
      <alignment horizontal="left" vertical="top"/>
      <protection locked="0"/>
    </xf>
    <xf numFmtId="0" fontId="54" fillId="0" borderId="0" xfId="28" applyFont="1" applyAlignment="1">
      <alignment horizontal="left" vertical="top"/>
      <protection locked="0"/>
    </xf>
    <xf numFmtId="0" fontId="286" fillId="0" borderId="0" xfId="28" applyFont="1" applyAlignment="1">
      <alignment horizontal="left" vertical="center"/>
      <protection locked="0"/>
    </xf>
    <xf numFmtId="0" fontId="234" fillId="0" borderId="0" xfId="0" applyFont="1" applyAlignment="1">
      <alignment horizontal="right" vertical="center"/>
      <protection locked="0"/>
    </xf>
    <xf numFmtId="0" fontId="235" fillId="0" borderId="0" xfId="0" applyFont="1" applyAlignment="1">
      <alignment horizontal="left" vertical="center"/>
      <protection locked="0"/>
    </xf>
    <xf numFmtId="0" fontId="34" fillId="0" borderId="0" xfId="0" applyFont="1" applyAlignment="1">
      <alignment horizontal="left" vertical="center"/>
      <protection locked="0"/>
    </xf>
    <xf numFmtId="0" fontId="235" fillId="0" borderId="0" xfId="0" applyFont="1" applyAlignment="1">
      <alignment horizontal="right" vertical="center"/>
      <protection locked="0"/>
    </xf>
    <xf numFmtId="4" fontId="0" fillId="0" borderId="0" xfId="0" applyNumberFormat="1" applyAlignment="1">
      <alignment horizontal="left" vertical="center"/>
      <protection locked="0"/>
    </xf>
    <xf numFmtId="0" fontId="105" fillId="0" borderId="0" xfId="0" applyFont="1" applyAlignment="1">
      <alignment horizontal="left" vertical="center"/>
      <protection locked="0"/>
    </xf>
    <xf numFmtId="0" fontId="18" fillId="0" borderId="0" xfId="63" applyFont="1" applyAlignment="1" applyProtection="1">
      <alignment horizontal="left" vertical="top"/>
      <protection locked="0"/>
    </xf>
    <xf numFmtId="39" fontId="246" fillId="0" borderId="0" xfId="63" applyNumberFormat="1" applyFont="1" applyAlignment="1" applyProtection="1">
      <alignment horizontal="left" vertical="center"/>
      <protection locked="0"/>
    </xf>
    <xf numFmtId="0" fontId="296" fillId="0" borderId="0" xfId="63" applyFont="1" applyAlignment="1" applyProtection="1">
      <alignment horizontal="left" vertical="top"/>
      <protection locked="0"/>
    </xf>
    <xf numFmtId="0" fontId="167" fillId="0" borderId="0" xfId="63" applyFont="1" applyAlignment="1" applyProtection="1">
      <alignment horizontal="left" vertical="top"/>
      <protection locked="0"/>
    </xf>
    <xf numFmtId="39" fontId="105" fillId="0" borderId="0" xfId="63" applyNumberFormat="1" applyFont="1" applyAlignment="1" applyProtection="1">
      <alignment horizontal="left" vertical="top"/>
      <protection locked="0"/>
    </xf>
    <xf numFmtId="167" fontId="34" fillId="0" borderId="0" xfId="71" applyNumberFormat="1" applyFont="1"/>
    <xf numFmtId="0" fontId="167" fillId="0" borderId="0" xfId="71" applyFont="1" applyAlignment="1" applyProtection="1">
      <alignment horizontal="right" vertical="top"/>
      <protection locked="0"/>
    </xf>
    <xf numFmtId="0" fontId="34" fillId="0" borderId="0" xfId="71" applyFont="1" applyAlignment="1">
      <alignment vertical="center"/>
    </xf>
    <xf numFmtId="0" fontId="84" fillId="0" borderId="0" xfId="71" applyFont="1" applyAlignment="1" applyProtection="1">
      <alignment horizontal="left" vertical="center"/>
      <protection locked="0"/>
    </xf>
    <xf numFmtId="0" fontId="84" fillId="0" borderId="0" xfId="71" applyFont="1" applyAlignment="1" applyProtection="1">
      <alignment horizontal="left" vertical="top"/>
      <protection locked="0"/>
    </xf>
    <xf numFmtId="0" fontId="294" fillId="0" borderId="0" xfId="71" applyFont="1" applyAlignment="1" applyProtection="1">
      <alignment vertical="top"/>
      <protection locked="0"/>
    </xf>
    <xf numFmtId="0" fontId="69" fillId="0" borderId="0" xfId="71" applyFont="1" applyAlignment="1" applyProtection="1">
      <alignment horizontal="left" vertical="top"/>
      <protection locked="0"/>
    </xf>
    <xf numFmtId="0" fontId="69" fillId="0" borderId="0" xfId="71" applyFont="1" applyAlignment="1">
      <alignment vertical="center"/>
    </xf>
    <xf numFmtId="0" fontId="233" fillId="0" borderId="0" xfId="71" applyFont="1" applyAlignment="1">
      <alignment vertical="center"/>
    </xf>
    <xf numFmtId="6" fontId="9" fillId="0" borderId="0" xfId="71" applyNumberFormat="1"/>
    <xf numFmtId="0" fontId="12" fillId="0" borderId="0" xfId="71" applyFont="1" applyAlignment="1" applyProtection="1">
      <alignment horizontal="right"/>
      <protection locked="0"/>
    </xf>
    <xf numFmtId="0" fontId="9" fillId="0" borderId="0" xfId="71" applyAlignment="1" applyProtection="1">
      <alignment horizontal="right" vertical="top"/>
      <protection locked="0"/>
    </xf>
    <xf numFmtId="0" fontId="34" fillId="0" borderId="0" xfId="71" applyFont="1" applyAlignment="1" applyProtection="1">
      <alignment horizontal="left" vertical="top"/>
      <protection locked="0"/>
    </xf>
    <xf numFmtId="0" fontId="235" fillId="0" borderId="0" xfId="71" applyFont="1" applyAlignment="1" applyProtection="1">
      <alignment horizontal="left" vertical="top"/>
      <protection locked="0"/>
    </xf>
    <xf numFmtId="175" fontId="85" fillId="0" borderId="0" xfId="71" applyNumberFormat="1" applyFont="1" applyAlignment="1" applyProtection="1">
      <alignment horizontal="center" vertical="center"/>
      <protection locked="0"/>
    </xf>
    <xf numFmtId="2" fontId="296" fillId="0" borderId="0" xfId="71" applyNumberFormat="1" applyFont="1" applyAlignment="1" applyProtection="1">
      <alignment horizontal="left" vertical="center"/>
      <protection locked="0"/>
    </xf>
    <xf numFmtId="0" fontId="85" fillId="0" borderId="0" xfId="71" applyFont="1" applyAlignment="1" applyProtection="1">
      <alignment horizontal="center" vertical="center"/>
      <protection locked="0"/>
    </xf>
    <xf numFmtId="175" fontId="85" fillId="0" borderId="0" xfId="71" applyNumberFormat="1" applyFont="1" applyAlignment="1" applyProtection="1">
      <alignment horizontal="left" vertical="center"/>
      <protection locked="0"/>
    </xf>
    <xf numFmtId="175" fontId="85" fillId="0" borderId="0" xfId="71" applyNumberFormat="1" applyFont="1" applyAlignment="1" applyProtection="1">
      <alignment horizontal="right" vertical="center"/>
      <protection locked="0"/>
    </xf>
    <xf numFmtId="39" fontId="12" fillId="0" borderId="0" xfId="3" applyNumberFormat="1" applyAlignment="1">
      <alignment horizontal="center"/>
    </xf>
    <xf numFmtId="0" fontId="97" fillId="0" borderId="0" xfId="71" applyFont="1" applyAlignment="1">
      <alignment vertical="center"/>
    </xf>
    <xf numFmtId="0" fontId="67" fillId="0" borderId="0" xfId="35" applyFont="1" applyAlignment="1" applyProtection="1">
      <alignment vertical="center"/>
    </xf>
    <xf numFmtId="0" fontId="69" fillId="0" borderId="0" xfId="35" applyAlignment="1" applyProtection="1">
      <alignment vertical="center"/>
    </xf>
    <xf numFmtId="0" fontId="97"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105" fillId="0" borderId="0" xfId="71" applyFont="1" applyAlignment="1" applyProtection="1">
      <alignment horizontal="right" vertical="center"/>
      <protection locked="0"/>
    </xf>
    <xf numFmtId="39" fontId="68" fillId="0" borderId="0" xfId="71" applyNumberFormat="1" applyFont="1" applyAlignment="1" applyProtection="1">
      <alignment horizontal="right" vertical="center"/>
      <protection locked="0"/>
    </xf>
    <xf numFmtId="39" fontId="10" fillId="0" borderId="0" xfId="71" applyNumberFormat="1" applyFont="1" applyAlignment="1" applyProtection="1">
      <alignment horizontal="right" vertical="center"/>
      <protection locked="0"/>
    </xf>
    <xf numFmtId="39" fontId="30" fillId="0" borderId="0" xfId="71" applyNumberFormat="1" applyFont="1" applyAlignment="1" applyProtection="1">
      <alignment horizontal="right" vertical="center"/>
      <protection locked="0"/>
    </xf>
    <xf numFmtId="0" fontId="96" fillId="0" borderId="0" xfId="71" applyFont="1" applyAlignment="1" applyProtection="1">
      <alignment horizontal="left" vertical="top"/>
      <protection locked="0"/>
    </xf>
    <xf numFmtId="0" fontId="54" fillId="0" borderId="0" xfId="35" applyFont="1" applyAlignment="1" applyProtection="1">
      <alignment vertical="center"/>
    </xf>
    <xf numFmtId="2" fontId="9" fillId="0" borderId="0" xfId="71" applyNumberFormat="1" applyAlignment="1" applyProtection="1">
      <alignment horizontal="left" vertical="top"/>
      <protection locked="0"/>
    </xf>
    <xf numFmtId="171" fontId="97" fillId="0" borderId="0" xfId="71" applyNumberFormat="1" applyFont="1" applyAlignment="1" applyProtection="1">
      <alignment vertical="center"/>
      <protection locked="0"/>
    </xf>
    <xf numFmtId="0" fontId="233" fillId="0" borderId="0" xfId="71" applyFont="1"/>
    <xf numFmtId="39" fontId="18" fillId="0" borderId="0" xfId="71" applyNumberFormat="1" applyFont="1" applyAlignment="1" applyProtection="1">
      <alignment horizontal="left" vertical="center"/>
      <protection locked="0"/>
    </xf>
    <xf numFmtId="0" fontId="9" fillId="0" borderId="0" xfId="71" applyAlignment="1" applyProtection="1">
      <alignment horizontal="center" vertical="top"/>
      <protection locked="0"/>
    </xf>
    <xf numFmtId="167" fontId="9" fillId="0" borderId="0" xfId="71" applyNumberFormat="1" applyAlignment="1" applyProtection="1">
      <alignment horizontal="center" vertical="top"/>
      <protection locked="0"/>
    </xf>
    <xf numFmtId="0" fontId="13" fillId="0" borderId="0" xfId="71" applyFont="1" applyAlignment="1" applyProtection="1">
      <alignment horizontal="center" vertical="top"/>
      <protection locked="0"/>
    </xf>
    <xf numFmtId="0" fontId="9" fillId="0" borderId="0" xfId="71" applyAlignment="1">
      <alignment vertical="center"/>
    </xf>
    <xf numFmtId="0" fontId="41" fillId="0" borderId="0" xfId="71" applyFont="1" applyAlignment="1">
      <alignment vertical="center"/>
    </xf>
    <xf numFmtId="0" fontId="12" fillId="0" borderId="0" xfId="60" applyFont="1" applyAlignment="1">
      <alignment horizontal="left" vertical="top"/>
      <protection locked="0"/>
    </xf>
    <xf numFmtId="0" fontId="67" fillId="0" borderId="0" xfId="71" applyFont="1"/>
    <xf numFmtId="0" fontId="18" fillId="0" borderId="0" xfId="3" applyFont="1" applyAlignment="1">
      <alignment horizontal="right"/>
    </xf>
    <xf numFmtId="0" fontId="12" fillId="0" borderId="0" xfId="3" applyAlignment="1">
      <alignment horizontal="center" vertical="center"/>
    </xf>
    <xf numFmtId="0" fontId="107" fillId="0" borderId="0" xfId="60" applyFont="1" applyAlignment="1">
      <alignment horizontal="center" vertical="center"/>
      <protection locked="0"/>
    </xf>
    <xf numFmtId="0" fontId="104" fillId="0" borderId="0" xfId="60" applyFont="1" applyAlignment="1">
      <alignment horizontal="center" vertical="center"/>
      <protection locked="0"/>
    </xf>
    <xf numFmtId="0" fontId="107" fillId="0" borderId="0" xfId="60" applyFont="1" applyAlignment="1">
      <alignment horizontal="left" vertical="center"/>
      <protection locked="0"/>
    </xf>
    <xf numFmtId="0" fontId="119" fillId="0" borderId="0" xfId="60" applyFont="1" applyAlignment="1">
      <alignment horizontal="left" vertical="center"/>
      <protection locked="0"/>
    </xf>
    <xf numFmtId="0" fontId="18" fillId="0" borderId="0" xfId="3" applyFont="1" applyAlignment="1">
      <alignment horizontal="right" vertical="center"/>
    </xf>
    <xf numFmtId="0" fontId="104" fillId="0" borderId="0" xfId="60" applyFont="1" applyAlignment="1">
      <alignment horizontal="right" vertical="center"/>
      <protection locked="0"/>
    </xf>
    <xf numFmtId="0" fontId="104" fillId="0" borderId="0" xfId="60" applyFont="1" applyAlignment="1">
      <alignment horizontal="left" vertical="center"/>
      <protection locked="0"/>
    </xf>
    <xf numFmtId="0" fontId="173" fillId="0" borderId="0" xfId="71" applyFont="1" applyAlignment="1">
      <alignment vertical="center"/>
    </xf>
    <xf numFmtId="39" fontId="10" fillId="0" borderId="0" xfId="60" applyNumberFormat="1" applyFont="1" applyAlignment="1">
      <alignment horizontal="left"/>
      <protection locked="0"/>
    </xf>
    <xf numFmtId="0" fontId="18" fillId="0" borderId="39" xfId="3" applyFont="1" applyBorder="1" applyAlignment="1">
      <alignment horizontal="right"/>
    </xf>
    <xf numFmtId="39" fontId="10" fillId="0" borderId="39" xfId="60" applyNumberFormat="1" applyFont="1" applyBorder="1" applyAlignment="1">
      <alignment horizontal="left"/>
      <protection locked="0"/>
    </xf>
    <xf numFmtId="0" fontId="67" fillId="0" borderId="0" xfId="71" applyFont="1" applyAlignment="1">
      <alignment vertical="center"/>
    </xf>
    <xf numFmtId="0" fontId="12" fillId="0" borderId="0" xfId="60" applyFont="1" applyAlignment="1">
      <alignment horizontal="left"/>
      <protection locked="0"/>
    </xf>
    <xf numFmtId="175" fontId="45" fillId="0" borderId="0" xfId="71" applyNumberFormat="1" applyFont="1" applyAlignment="1">
      <alignment horizontal="center" vertical="center"/>
    </xf>
    <xf numFmtId="0" fontId="67" fillId="0" borderId="0" xfId="71" applyFont="1" applyAlignment="1">
      <alignment horizontal="right"/>
    </xf>
    <xf numFmtId="0" fontId="84" fillId="0" borderId="0" xfId="60" applyFont="1" applyAlignment="1">
      <alignment horizontal="left" vertical="center"/>
      <protection locked="0"/>
    </xf>
    <xf numFmtId="0" fontId="251" fillId="0" borderId="0" xfId="71" applyFont="1" applyAlignment="1">
      <alignment horizontal="center" vertical="center"/>
    </xf>
    <xf numFmtId="0" fontId="18" fillId="0" borderId="0" xfId="3" applyFont="1" applyAlignment="1">
      <alignment horizontal="left" vertical="center"/>
    </xf>
    <xf numFmtId="0" fontId="9" fillId="0" borderId="0" xfId="71" applyAlignment="1" applyProtection="1">
      <alignment horizontal="right" vertical="center"/>
      <protection locked="0"/>
    </xf>
    <xf numFmtId="0" fontId="255" fillId="0" borderId="0" xfId="71" applyFont="1" applyAlignment="1">
      <alignment horizontal="right" vertical="center"/>
    </xf>
    <xf numFmtId="0" fontId="150" fillId="0" borderId="0" xfId="6" applyFont="1" applyAlignment="1" applyProtection="1">
      <alignment horizontal="left" vertical="center"/>
      <protection locked="0"/>
    </xf>
    <xf numFmtId="0" fontId="255" fillId="0" borderId="0" xfId="6" applyFont="1" applyAlignment="1" applyProtection="1">
      <alignment horizontal="left" vertical="top"/>
      <protection locked="0"/>
    </xf>
    <xf numFmtId="0" fontId="14" fillId="0" borderId="0" xfId="6" applyAlignment="1" applyProtection="1">
      <alignment horizontal="lef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left" vertical="center"/>
      <protection locked="0"/>
    </xf>
    <xf numFmtId="0" fontId="34" fillId="0" borderId="0" xfId="71" applyFont="1" applyAlignment="1" applyProtection="1">
      <alignment horizontal="left" vertical="center"/>
      <protection locked="0"/>
    </xf>
    <xf numFmtId="4" fontId="9" fillId="0" borderId="0" xfId="71" applyNumberFormat="1" applyAlignment="1" applyProtection="1">
      <alignment horizontal="left" vertical="center"/>
      <protection locked="0"/>
    </xf>
    <xf numFmtId="0" fontId="105"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top"/>
      <protection locked="0"/>
    </xf>
    <xf numFmtId="0" fontId="75" fillId="0" borderId="0" xfId="35" applyFont="1" applyAlignment="1" applyProtection="1">
      <alignment horizontal="center" vertical="center"/>
    </xf>
    <xf numFmtId="0" fontId="39" fillId="0" borderId="0" xfId="35" applyFont="1" applyAlignment="1" applyProtection="1"/>
    <xf numFmtId="167" fontId="85" fillId="0" borderId="0" xfId="35" applyNumberFormat="1" applyFont="1" applyAlignment="1" applyProtection="1">
      <alignment horizontal="center" vertical="center"/>
    </xf>
    <xf numFmtId="167" fontId="251" fillId="0" borderId="0" xfId="35" applyNumberFormat="1" applyFont="1" applyAlignment="1" applyProtection="1">
      <alignment horizontal="center" vertical="center"/>
    </xf>
    <xf numFmtId="167" fontId="18" fillId="0" borderId="0" xfId="35" applyNumberFormat="1" applyFont="1" applyAlignment="1" applyProtection="1"/>
    <xf numFmtId="2" fontId="18" fillId="0" borderId="0" xfId="3" applyNumberFormat="1" applyFont="1"/>
    <xf numFmtId="6" fontId="18" fillId="0" borderId="39" xfId="35" applyNumberFormat="1" applyFont="1" applyBorder="1" applyAlignment="1" applyProtection="1">
      <alignment horizontal="right"/>
    </xf>
    <xf numFmtId="6" fontId="18" fillId="0" borderId="0" xfId="35" applyNumberFormat="1" applyFont="1" applyAlignment="1" applyProtection="1">
      <alignment horizontal="right"/>
    </xf>
    <xf numFmtId="0" fontId="54" fillId="0" borderId="0" xfId="35" applyFont="1" applyAlignment="1" applyProtection="1"/>
    <xf numFmtId="0" fontId="97" fillId="0" borderId="0" xfId="71" applyFont="1" applyAlignment="1">
      <alignment horizontal="left" vertical="center"/>
    </xf>
    <xf numFmtId="6" fontId="69" fillId="0" borderId="0" xfId="35" applyNumberFormat="1" applyAlignment="1" applyProtection="1">
      <alignment vertical="center"/>
    </xf>
    <xf numFmtId="0" fontId="150" fillId="0" borderId="0" xfId="35" applyFont="1" applyAlignment="1" applyProtection="1">
      <alignment vertical="center"/>
    </xf>
    <xf numFmtId="0" fontId="83" fillId="0" borderId="0" xfId="35" applyFont="1" applyAlignment="1" applyProtection="1">
      <alignment vertical="center"/>
    </xf>
    <xf numFmtId="0" fontId="82" fillId="0" borderId="0" xfId="35" applyFont="1" applyAlignment="1" applyProtection="1">
      <alignment horizontal="left" vertical="center"/>
    </xf>
    <xf numFmtId="180" fontId="39" fillId="0" borderId="0" xfId="35" applyNumberFormat="1" applyFont="1" applyAlignment="1" applyProtection="1">
      <alignment horizontal="center" vertical="center"/>
    </xf>
    <xf numFmtId="6" fontId="18" fillId="0" borderId="0" xfId="35" applyNumberFormat="1" applyFont="1" applyAlignment="1" applyProtection="1">
      <alignment horizontal="right" vertical="top" wrapText="1"/>
    </xf>
    <xf numFmtId="6" fontId="18" fillId="0" borderId="0" xfId="35" applyNumberFormat="1" applyFont="1" applyAlignment="1" applyProtection="1">
      <alignment horizontal="right" vertical="top"/>
    </xf>
    <xf numFmtId="180" fontId="45" fillId="0" borderId="0" xfId="35" applyNumberFormat="1" applyFont="1" applyAlignment="1" applyProtection="1">
      <alignment horizontal="center" vertical="center"/>
    </xf>
    <xf numFmtId="0" fontId="39" fillId="0" borderId="39" xfId="28" applyFont="1" applyBorder="1" applyAlignment="1">
      <alignment horizontal="left" vertical="center"/>
      <protection locked="0"/>
    </xf>
    <xf numFmtId="0" fontId="10" fillId="0" borderId="0" xfId="60" applyFont="1" applyAlignment="1" applyProtection="1"/>
    <xf numFmtId="0" fontId="10" fillId="0" borderId="0" xfId="28" applyFont="1" applyAlignment="1">
      <alignment horizontal="right" vertical="center"/>
      <protection locked="0"/>
    </xf>
    <xf numFmtId="0" fontId="97" fillId="0" borderId="0" xfId="28" applyFont="1" applyAlignment="1" applyProtection="1">
      <alignment horizontal="left" vertical="center"/>
    </xf>
    <xf numFmtId="0" fontId="54" fillId="0" borderId="0" xfId="60" applyFont="1" applyAlignment="1" applyProtection="1"/>
    <xf numFmtId="0" fontId="10" fillId="0" borderId="0" xfId="28" applyFont="1" applyAlignment="1">
      <alignment horizontal="left"/>
      <protection locked="0"/>
    </xf>
    <xf numFmtId="0" fontId="39" fillId="0" borderId="0" xfId="28" applyFont="1" applyAlignment="1">
      <alignment horizontal="left" vertical="center"/>
      <protection locked="0"/>
    </xf>
    <xf numFmtId="0" fontId="97" fillId="0" borderId="0" xfId="28" applyFont="1" applyAlignment="1" applyProtection="1">
      <alignment horizontal="right" vertical="center"/>
    </xf>
    <xf numFmtId="0" fontId="10" fillId="0" borderId="0" xfId="28" applyFont="1" applyAlignment="1">
      <alignment horizontal="left" vertical="center"/>
      <protection locked="0"/>
    </xf>
    <xf numFmtId="0" fontId="39" fillId="0" borderId="0" xfId="28" applyFont="1" applyAlignment="1">
      <alignment horizontal="right" vertical="center"/>
      <protection locked="0"/>
    </xf>
    <xf numFmtId="0" fontId="10" fillId="0" borderId="0" xfId="28" applyFont="1" applyAlignment="1" applyProtection="1"/>
    <xf numFmtId="0" fontId="124" fillId="0" borderId="0" xfId="28" applyFont="1" applyAlignment="1">
      <alignment horizontal="left" vertical="center"/>
      <protection locked="0"/>
    </xf>
    <xf numFmtId="0" fontId="18" fillId="0" borderId="0" xfId="28" applyFont="1" applyAlignment="1" applyProtection="1">
      <alignment horizontal="right"/>
    </xf>
    <xf numFmtId="0" fontId="12" fillId="0" borderId="0" xfId="28" applyFont="1" applyAlignment="1">
      <alignment horizontal="left" vertical="center"/>
      <protection locked="0"/>
    </xf>
    <xf numFmtId="39" fontId="98" fillId="0" borderId="0" xfId="0" applyNumberFormat="1" applyFont="1" applyAlignment="1">
      <alignment horizontal="right"/>
      <protection locked="0"/>
    </xf>
    <xf numFmtId="4" fontId="10" fillId="0" borderId="15" xfId="30" applyNumberFormat="1" applyFont="1" applyBorder="1" applyAlignment="1" applyProtection="1">
      <alignment horizontal="right"/>
      <protection locked="0"/>
    </xf>
    <xf numFmtId="0" fontId="279" fillId="0" borderId="0" xfId="0" applyFont="1" applyAlignment="1">
      <alignment horizontal="left" vertical="center"/>
      <protection locked="0"/>
    </xf>
    <xf numFmtId="2" fontId="0" fillId="0" borderId="0" xfId="0" applyNumberFormat="1" applyAlignment="1">
      <alignment horizontal="left" vertical="top"/>
      <protection locked="0"/>
    </xf>
    <xf numFmtId="0" fontId="150" fillId="0" borderId="0" xfId="0" applyFont="1" applyAlignment="1">
      <alignment horizontal="right" vertical="center"/>
      <protection locked="0"/>
    </xf>
    <xf numFmtId="0" fontId="283" fillId="0" borderId="0" xfId="0" applyFont="1" applyAlignment="1">
      <alignment horizontal="left" vertical="top"/>
      <protection locked="0"/>
    </xf>
    <xf numFmtId="2" fontId="284" fillId="0" borderId="0" xfId="0" applyNumberFormat="1" applyFont="1" applyAlignment="1">
      <alignment vertical="center"/>
      <protection locked="0"/>
    </xf>
    <xf numFmtId="0" fontId="163" fillId="0" borderId="0" xfId="0" applyFont="1" applyAlignment="1">
      <alignment horizontal="left" vertical="center"/>
      <protection locked="0"/>
    </xf>
    <xf numFmtId="0" fontId="102" fillId="0" borderId="0" xfId="0" applyFont="1" applyAlignment="1">
      <alignment horizontal="left" vertical="center"/>
      <protection locked="0"/>
    </xf>
    <xf numFmtId="0" fontId="105" fillId="0" borderId="0" xfId="0" applyFont="1" applyAlignment="1">
      <alignment horizontal="right" vertical="top"/>
      <protection locked="0"/>
    </xf>
    <xf numFmtId="2" fontId="284" fillId="0" borderId="0" xfId="0" applyNumberFormat="1" applyFont="1" applyAlignment="1">
      <alignment horizontal="left" vertical="center"/>
      <protection locked="0"/>
    </xf>
    <xf numFmtId="2" fontId="64" fillId="0" borderId="0" xfId="0" applyNumberFormat="1" applyFont="1" applyAlignment="1">
      <alignment horizontal="left" vertical="center"/>
      <protection locked="0"/>
    </xf>
    <xf numFmtId="0" fontId="135" fillId="0" borderId="0" xfId="28" applyFont="1" applyAlignment="1">
      <alignment horizontal="right" vertical="center"/>
      <protection locked="0"/>
    </xf>
    <xf numFmtId="0" fontId="54" fillId="0" borderId="0" xfId="0" applyFont="1" applyAlignment="1">
      <alignment horizontal="right" vertical="center"/>
      <protection locked="0"/>
    </xf>
    <xf numFmtId="0" fontId="135" fillId="0" borderId="0" xfId="28" applyFont="1" applyAlignment="1">
      <alignment horizontal="left" vertical="center"/>
      <protection locked="0"/>
    </xf>
    <xf numFmtId="39" fontId="105" fillId="0" borderId="0" xfId="63" applyNumberFormat="1" applyFont="1" applyAlignment="1" applyProtection="1">
      <alignment horizontal="right" vertical="center"/>
      <protection locked="0"/>
    </xf>
    <xf numFmtId="2" fontId="54" fillId="0" borderId="0" xfId="0" applyNumberFormat="1" applyFont="1" applyAlignment="1">
      <alignment horizontal="left" vertical="center"/>
      <protection locked="0"/>
    </xf>
    <xf numFmtId="0" fontId="159" fillId="0" borderId="0" xfId="28" applyFont="1" applyAlignment="1">
      <alignment horizontal="left"/>
      <protection locked="0"/>
    </xf>
    <xf numFmtId="0" fontId="0" fillId="0" borderId="0" xfId="0" applyAlignment="1">
      <protection locked="0"/>
    </xf>
    <xf numFmtId="0" fontId="285" fillId="0" borderId="0" xfId="28" applyFont="1" applyAlignment="1">
      <alignment horizontal="left"/>
      <protection locked="0"/>
    </xf>
    <xf numFmtId="0" fontId="84" fillId="0" borderId="0" xfId="28" applyFont="1" applyAlignment="1">
      <alignment horizontal="left" vertical="center"/>
      <protection locked="0"/>
    </xf>
    <xf numFmtId="0" fontId="159" fillId="0" borderId="0" xfId="28" applyFont="1" applyAlignment="1">
      <alignment horizontal="left" vertical="center"/>
      <protection locked="0"/>
    </xf>
    <xf numFmtId="0" fontId="285" fillId="0" borderId="0" xfId="28" applyFont="1" applyAlignment="1">
      <alignment horizontal="left" vertical="center"/>
      <protection locked="0"/>
    </xf>
    <xf numFmtId="0" fontId="83" fillId="0" borderId="0" xfId="0" applyFont="1" applyAlignment="1" applyProtection="1">
      <alignment vertical="center"/>
    </xf>
    <xf numFmtId="0" fontId="105" fillId="0" borderId="0" xfId="0" applyFont="1" applyAlignment="1">
      <alignment horizontal="left" vertical="top"/>
      <protection locked="0"/>
    </xf>
    <xf numFmtId="0" fontId="233" fillId="0" borderId="0" xfId="0" applyFont="1" applyAlignment="1">
      <alignment horizontal="left" vertical="center"/>
      <protection locked="0"/>
    </xf>
    <xf numFmtId="0" fontId="54" fillId="0" borderId="0" xfId="0" applyFont="1" applyAlignment="1">
      <alignment horizontal="left" vertical="top"/>
      <protection locked="0"/>
    </xf>
    <xf numFmtId="0" fontId="64" fillId="0" borderId="0" xfId="0" applyFont="1" applyAlignment="1">
      <alignment horizontal="left" vertical="center"/>
      <protection locked="0"/>
    </xf>
    <xf numFmtId="0" fontId="238" fillId="0" borderId="0" xfId="0" applyFont="1" applyAlignment="1">
      <alignment horizontal="left" vertical="top"/>
      <protection locked="0"/>
    </xf>
    <xf numFmtId="169" fontId="84" fillId="0" borderId="0" xfId="68" applyNumberFormat="1" applyFont="1" applyAlignment="1">
      <alignment horizontal="left" vertical="center"/>
      <protection locked="0"/>
    </xf>
    <xf numFmtId="4" fontId="69" fillId="0" borderId="0" xfId="68" applyNumberFormat="1" applyAlignment="1" applyProtection="1">
      <alignment vertical="center"/>
    </xf>
    <xf numFmtId="167" fontId="10" fillId="0" borderId="15" xfId="0" applyNumberFormat="1" applyFont="1" applyBorder="1" applyAlignment="1">
      <alignment horizontal="right"/>
      <protection locked="0"/>
    </xf>
    <xf numFmtId="4" fontId="10" fillId="0" borderId="15" xfId="0" applyNumberFormat="1" applyFont="1" applyBorder="1" applyAlignment="1">
      <alignment horizontal="right"/>
      <protection locked="0"/>
    </xf>
    <xf numFmtId="167" fontId="39" fillId="0" borderId="15" xfId="0" applyNumberFormat="1" applyFont="1" applyBorder="1" applyAlignment="1">
      <alignment horizontal="right"/>
      <protection locked="0"/>
    </xf>
    <xf numFmtId="0" fontId="51" fillId="0" borderId="15" xfId="0" applyFont="1" applyBorder="1" applyAlignment="1" applyProtection="1"/>
    <xf numFmtId="167" fontId="51" fillId="0" borderId="15" xfId="0" applyNumberFormat="1" applyFont="1" applyBorder="1" applyAlignment="1" applyProtection="1"/>
    <xf numFmtId="0" fontId="55" fillId="0" borderId="15" xfId="0" applyFont="1" applyBorder="1" applyAlignment="1">
      <alignment horizontal="left" vertical="top"/>
      <protection locked="0"/>
    </xf>
    <xf numFmtId="167" fontId="55" fillId="0" borderId="0" xfId="0" applyNumberFormat="1" applyFont="1" applyAlignment="1">
      <alignment horizontal="left" vertical="top"/>
      <protection locked="0"/>
    </xf>
    <xf numFmtId="0" fontId="52" fillId="0" borderId="15" xfId="0" applyFont="1" applyBorder="1" applyAlignment="1">
      <alignment horizontal="left" wrapText="1"/>
      <protection locked="0"/>
    </xf>
    <xf numFmtId="167" fontId="55" fillId="0" borderId="15" xfId="0" applyNumberFormat="1" applyFont="1" applyBorder="1" applyAlignment="1">
      <alignment horizontal="left" vertical="top"/>
      <protection locked="0"/>
    </xf>
    <xf numFmtId="0" fontId="11" fillId="0" borderId="15" xfId="21" applyFont="1" applyBorder="1" applyAlignment="1">
      <alignment vertical="center"/>
    </xf>
    <xf numFmtId="0" fontId="289" fillId="0" borderId="15" xfId="0" applyFont="1" applyBorder="1" applyAlignment="1">
      <alignment horizontal="left" wrapText="1"/>
      <protection locked="0"/>
    </xf>
    <xf numFmtId="167" fontId="30" fillId="0" borderId="15" xfId="0" applyNumberFormat="1" applyFont="1" applyBorder="1" applyAlignment="1">
      <alignment horizontal="right" wrapText="1"/>
      <protection locked="0"/>
    </xf>
    <xf numFmtId="0" fontId="98" fillId="0" borderId="15" xfId="0" applyFont="1" applyBorder="1" applyAlignment="1">
      <alignment horizontal="left" wrapText="1"/>
      <protection locked="0"/>
    </xf>
    <xf numFmtId="167" fontId="52" fillId="0" borderId="15" xfId="0" applyNumberFormat="1" applyFont="1" applyBorder="1" applyAlignment="1">
      <alignment horizontal="left" wrapText="1"/>
      <protection locked="0"/>
    </xf>
    <xf numFmtId="167" fontId="98" fillId="0" borderId="15" xfId="0" applyNumberFormat="1" applyFont="1" applyBorder="1" applyAlignment="1">
      <alignment horizontal="left" wrapText="1"/>
      <protection locked="0"/>
    </xf>
    <xf numFmtId="0" fontId="76" fillId="0" borderId="15" xfId="80" applyFont="1" applyBorder="1" applyAlignment="1" applyProtection="1">
      <alignment vertical="center" wrapText="1"/>
    </xf>
    <xf numFmtId="0" fontId="10" fillId="0" borderId="15" xfId="82" applyFont="1" applyBorder="1" applyAlignment="1" applyProtection="1">
      <alignment horizontal="left" wrapText="1"/>
    </xf>
    <xf numFmtId="0" fontId="10" fillId="0" borderId="15" xfId="82" applyFont="1" applyBorder="1" applyAlignment="1">
      <alignment horizontal="left" wrapText="1"/>
      <protection locked="0"/>
    </xf>
    <xf numFmtId="167" fontId="10" fillId="0" borderId="15" xfId="82" applyNumberFormat="1" applyFont="1" applyBorder="1" applyAlignment="1">
      <alignment horizontal="right"/>
      <protection locked="0"/>
    </xf>
    <xf numFmtId="0" fontId="30" fillId="0" borderId="15" xfId="82" applyFont="1" applyBorder="1" applyAlignment="1">
      <alignment horizontal="left" wrapText="1"/>
      <protection locked="0"/>
    </xf>
    <xf numFmtId="167" fontId="30" fillId="0" borderId="15" xfId="82" applyNumberFormat="1" applyFont="1" applyBorder="1" applyAlignment="1">
      <alignment horizontal="right"/>
      <protection locked="0"/>
    </xf>
    <xf numFmtId="0" fontId="76" fillId="0" borderId="15" xfId="0" applyFont="1" applyBorder="1" applyAlignment="1" applyProtection="1">
      <alignment wrapText="1"/>
    </xf>
    <xf numFmtId="1" fontId="10" fillId="0" borderId="0" xfId="73" applyNumberFormat="1" applyFont="1" applyAlignment="1">
      <alignment horizontal="right"/>
      <protection locked="0"/>
    </xf>
    <xf numFmtId="0" fontId="11" fillId="0" borderId="15" xfId="80" applyFont="1" applyBorder="1" applyAlignment="1" applyProtection="1"/>
    <xf numFmtId="167" fontId="10" fillId="0" borderId="15" xfId="80" applyNumberFormat="1" applyFont="1" applyBorder="1" applyAlignment="1">
      <alignment horizontal="right" wrapText="1"/>
      <protection locked="0"/>
    </xf>
    <xf numFmtId="37" fontId="10" fillId="0" borderId="15" xfId="82" applyNumberFormat="1" applyFont="1" applyBorder="1" applyAlignment="1">
      <alignment horizontal="right"/>
      <protection locked="0"/>
    </xf>
    <xf numFmtId="2" fontId="51" fillId="0" borderId="15" xfId="0" applyNumberFormat="1" applyFont="1" applyBorder="1" applyAlignment="1" applyProtection="1"/>
    <xf numFmtId="2" fontId="30" fillId="0" borderId="15" xfId="82" applyNumberFormat="1" applyFont="1" applyBorder="1" applyAlignment="1">
      <alignment horizontal="right"/>
      <protection locked="0"/>
    </xf>
    <xf numFmtId="37" fontId="68" fillId="0" borderId="30" xfId="6" applyNumberFormat="1" applyFont="1" applyBorder="1" applyAlignment="1" applyProtection="1">
      <alignment horizontal="right"/>
      <protection locked="0"/>
    </xf>
    <xf numFmtId="49" fontId="68" fillId="0" borderId="30" xfId="6" applyNumberFormat="1" applyFont="1" applyBorder="1" applyAlignment="1" applyProtection="1">
      <alignment horizontal="left" wrapText="1"/>
      <protection locked="0"/>
    </xf>
    <xf numFmtId="0" fontId="68" fillId="0" borderId="30" xfId="6" applyFont="1" applyBorder="1" applyAlignment="1" applyProtection="1">
      <alignment horizontal="left" wrapText="1"/>
      <protection locked="0"/>
    </xf>
    <xf numFmtId="0" fontId="30" fillId="0" borderId="30" xfId="6" applyFont="1" applyBorder="1" applyAlignment="1" applyProtection="1">
      <alignment horizontal="left" wrapText="1"/>
      <protection locked="0"/>
    </xf>
    <xf numFmtId="2" fontId="30" fillId="0" borderId="30" xfId="6" applyNumberFormat="1" applyFont="1" applyBorder="1" applyAlignment="1" applyProtection="1">
      <alignment horizontal="right"/>
      <protection locked="0"/>
    </xf>
    <xf numFmtId="4" fontId="10" fillId="0" borderId="30" xfId="6" applyNumberFormat="1" applyFont="1" applyBorder="1" applyAlignment="1" applyProtection="1">
      <alignment horizontal="right"/>
      <protection locked="0"/>
    </xf>
    <xf numFmtId="167" fontId="10" fillId="0" borderId="15" xfId="80" applyNumberFormat="1" applyFont="1" applyBorder="1" applyAlignment="1">
      <alignment horizontal="right"/>
      <protection locked="0"/>
    </xf>
    <xf numFmtId="167" fontId="74" fillId="0" borderId="15" xfId="80" applyNumberFormat="1" applyFont="1" applyBorder="1" applyAlignment="1">
      <alignment horizontal="right" wrapText="1"/>
      <protection locked="0"/>
    </xf>
    <xf numFmtId="167" fontId="55" fillId="0" borderId="0" xfId="80" applyNumberFormat="1" applyFont="1" applyAlignment="1">
      <alignment horizontal="left" vertical="top"/>
      <protection locked="0"/>
    </xf>
    <xf numFmtId="0" fontId="11" fillId="0" borderId="15" xfId="21" applyFont="1" applyBorder="1"/>
    <xf numFmtId="49" fontId="51" fillId="0" borderId="129" xfId="24" applyNumberFormat="1" applyFont="1" applyBorder="1" applyAlignment="1">
      <alignment horizontal="left"/>
    </xf>
    <xf numFmtId="0" fontId="10" fillId="0" borderId="129" xfId="24" applyFont="1" applyBorder="1" applyAlignment="1" applyProtection="1">
      <alignment horizontal="left" wrapText="1"/>
      <protection locked="0"/>
    </xf>
    <xf numFmtId="4" fontId="10" fillId="0" borderId="125" xfId="24" applyNumberFormat="1" applyFont="1" applyBorder="1" applyAlignment="1" applyProtection="1">
      <alignment horizontal="right"/>
      <protection locked="0"/>
    </xf>
    <xf numFmtId="0" fontId="259" fillId="0" borderId="129" xfId="24" applyFont="1" applyBorder="1" applyAlignment="1">
      <alignment wrapText="1"/>
    </xf>
    <xf numFmtId="0" fontId="76" fillId="0" borderId="139" xfId="80" applyFont="1" applyBorder="1" applyAlignment="1" applyProtection="1">
      <alignment wrapText="1"/>
    </xf>
    <xf numFmtId="0" fontId="11" fillId="0" borderId="15" xfId="80" applyFont="1" applyBorder="1" applyAlignment="1" applyProtection="1">
      <alignment wrapText="1"/>
    </xf>
    <xf numFmtId="1" fontId="10" fillId="0" borderId="15" xfId="71" applyNumberFormat="1" applyFont="1" applyBorder="1" applyAlignment="1" applyProtection="1">
      <alignment horizontal="right"/>
      <protection locked="0"/>
    </xf>
    <xf numFmtId="0" fontId="10" fillId="0" borderId="15" xfId="71" applyFont="1" applyBorder="1" applyAlignment="1" applyProtection="1">
      <alignment horizontal="left" wrapText="1"/>
      <protection locked="0"/>
    </xf>
    <xf numFmtId="0" fontId="76" fillId="0" borderId="15" xfId="71" applyFont="1" applyBorder="1" applyAlignment="1">
      <alignment vertical="center" wrapText="1"/>
    </xf>
    <xf numFmtId="4" fontId="74" fillId="0" borderId="15" xfId="71" applyNumberFormat="1" applyFont="1" applyBorder="1" applyAlignment="1" applyProtection="1">
      <alignment horizontal="right" wrapText="1"/>
      <protection locked="0"/>
    </xf>
    <xf numFmtId="4" fontId="10" fillId="0" borderId="15" xfId="71" applyNumberFormat="1" applyFont="1" applyBorder="1" applyAlignment="1" applyProtection="1">
      <alignment horizontal="right"/>
      <protection locked="0"/>
    </xf>
    <xf numFmtId="37" fontId="10" fillId="0" borderId="129" xfId="0" applyNumberFormat="1" applyFont="1" applyBorder="1" applyAlignment="1">
      <alignment horizontal="right"/>
      <protection locked="0"/>
    </xf>
    <xf numFmtId="49" fontId="10" fillId="0" borderId="129" xfId="92" applyNumberFormat="1" applyFont="1" applyBorder="1" applyAlignment="1">
      <alignment horizontal="left" wrapText="1"/>
      <protection locked="0"/>
    </xf>
    <xf numFmtId="39" fontId="68" fillId="0" borderId="0" xfId="0" applyNumberFormat="1" applyFont="1" applyAlignment="1">
      <alignment horizontal="right"/>
      <protection locked="0"/>
    </xf>
    <xf numFmtId="0" fontId="64" fillId="0" borderId="0" xfId="80" applyFont="1" applyAlignment="1">
      <alignment horizontal="left" vertical="center"/>
      <protection locked="0"/>
    </xf>
    <xf numFmtId="0" fontId="156" fillId="0" borderId="0" xfId="80" applyFont="1" applyAlignment="1">
      <alignment horizontal="left" vertical="center"/>
      <protection locked="0"/>
    </xf>
    <xf numFmtId="4" fontId="33" fillId="0" borderId="0" xfId="80" applyNumberFormat="1" applyAlignment="1">
      <alignment horizontal="left" vertical="top"/>
      <protection locked="0"/>
    </xf>
    <xf numFmtId="4" fontId="54" fillId="0" borderId="0" xfId="0" applyNumberFormat="1" applyFont="1" applyAlignment="1">
      <alignment horizontal="left" vertical="center"/>
      <protection locked="0"/>
    </xf>
    <xf numFmtId="2" fontId="156" fillId="0" borderId="0" xfId="80" applyNumberFormat="1" applyFont="1" applyAlignment="1">
      <alignment horizontal="center" vertical="center"/>
      <protection locked="0"/>
    </xf>
    <xf numFmtId="0" fontId="54" fillId="0" borderId="0" xfId="80" applyFont="1" applyAlignment="1">
      <alignment horizontal="left" vertical="top"/>
      <protection locked="0"/>
    </xf>
    <xf numFmtId="0" fontId="84" fillId="0" borderId="0" xfId="80" applyFont="1" applyAlignment="1">
      <alignment horizontal="left" vertical="center"/>
      <protection locked="0"/>
    </xf>
    <xf numFmtId="39" fontId="49" fillId="0" borderId="0" xfId="0" applyNumberFormat="1" applyFont="1" applyAlignment="1">
      <alignment horizontal="right" vertical="center"/>
      <protection locked="0"/>
    </xf>
    <xf numFmtId="39" fontId="10" fillId="0" borderId="0" xfId="0" applyNumberFormat="1" applyFont="1" applyAlignment="1">
      <alignment horizontal="left" vertical="top"/>
      <protection locked="0"/>
    </xf>
    <xf numFmtId="4" fontId="10" fillId="0" borderId="0" xfId="0" applyNumberFormat="1" applyFont="1" applyAlignment="1">
      <alignment horizontal="left" vertical="top"/>
      <protection locked="0"/>
    </xf>
    <xf numFmtId="0" fontId="54" fillId="0" borderId="0" xfId="37" applyFont="1" applyAlignment="1" applyProtection="1">
      <alignment horizontal="right" vertical="center"/>
      <protection locked="0"/>
    </xf>
    <xf numFmtId="0" fontId="84" fillId="0" borderId="0" xfId="37" applyFont="1" applyAlignment="1" applyProtection="1">
      <alignment horizontal="right" vertical="center"/>
      <protection locked="0"/>
    </xf>
    <xf numFmtId="0" fontId="84" fillId="0" borderId="0" xfId="37" applyFont="1" applyAlignment="1" applyProtection="1">
      <alignment horizontal="left" vertical="center"/>
      <protection locked="0"/>
    </xf>
    <xf numFmtId="0" fontId="255" fillId="0" borderId="0" xfId="0" applyFont="1" applyAlignment="1">
      <alignment horizontal="right" vertical="center"/>
      <protection locked="0"/>
    </xf>
    <xf numFmtId="0" fontId="55" fillId="0" borderId="0" xfId="0" applyFont="1" applyAlignment="1">
      <alignment horizontal="left" vertical="center"/>
      <protection locked="0"/>
    </xf>
    <xf numFmtId="4" fontId="51" fillId="0" borderId="15" xfId="0" applyNumberFormat="1" applyFont="1" applyBorder="1" applyAlignment="1" applyProtection="1"/>
    <xf numFmtId="4" fontId="30" fillId="0" borderId="15" xfId="0" applyNumberFormat="1" applyFont="1" applyBorder="1" applyAlignment="1">
      <alignment horizontal="right"/>
      <protection locked="0"/>
    </xf>
    <xf numFmtId="4" fontId="55" fillId="0" borderId="15" xfId="0" applyNumberFormat="1" applyFont="1" applyBorder="1" applyAlignment="1">
      <alignment horizontal="left" vertical="top"/>
      <protection locked="0"/>
    </xf>
    <xf numFmtId="0" fontId="116" fillId="0" borderId="0" xfId="0" applyFont="1" applyAlignment="1">
      <alignment horizontal="left" vertical="center"/>
      <protection locked="0"/>
    </xf>
    <xf numFmtId="167" fontId="0" fillId="0" borderId="0" xfId="0" applyNumberFormat="1" applyAlignment="1">
      <alignment horizontal="left" vertical="center"/>
      <protection locked="0"/>
    </xf>
    <xf numFmtId="0" fontId="262" fillId="0" borderId="0" xfId="0" applyFont="1" applyAlignment="1">
      <alignment horizontal="left" vertical="center"/>
      <protection locked="0"/>
    </xf>
    <xf numFmtId="0" fontId="100" fillId="0" borderId="0" xfId="0" applyFont="1" applyAlignment="1">
      <alignment horizontal="left" vertical="center"/>
      <protection locked="0"/>
    </xf>
    <xf numFmtId="4" fontId="55"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7" fillId="0" borderId="0" xfId="37" applyFont="1" applyAlignment="1" applyProtection="1">
      <alignment horizontal="right" vertical="center"/>
      <protection locked="0"/>
    </xf>
    <xf numFmtId="0" fontId="57" fillId="0" borderId="0" xfId="37" applyFont="1" applyAlignment="1">
      <alignment vertical="center"/>
    </xf>
    <xf numFmtId="0" fontId="258" fillId="0" borderId="0" xfId="37" applyFont="1" applyAlignment="1" applyProtection="1">
      <alignment horizontal="right" vertical="center"/>
      <protection locked="0"/>
    </xf>
    <xf numFmtId="39" fontId="39" fillId="0" borderId="129" xfId="82" applyNumberFormat="1" applyFont="1" applyBorder="1" applyAlignment="1">
      <alignment horizontal="left"/>
      <protection locked="0"/>
    </xf>
    <xf numFmtId="0" fontId="291" fillId="0" borderId="0" xfId="0" applyFont="1" applyAlignment="1">
      <alignment horizontal="center" wrapText="1"/>
      <protection locked="0"/>
    </xf>
    <xf numFmtId="0" fontId="10" fillId="0" borderId="30" xfId="0" applyFont="1" applyBorder="1" applyAlignment="1" applyProtection="1"/>
    <xf numFmtId="167" fontId="10" fillId="0" borderId="30" xfId="80" applyNumberFormat="1" applyFont="1" applyBorder="1" applyAlignment="1">
      <alignment horizontal="right"/>
      <protection locked="0"/>
    </xf>
    <xf numFmtId="0" fontId="10" fillId="0" borderId="123" xfId="0" applyFont="1" applyBorder="1" applyAlignment="1">
      <alignment horizontal="left" wrapText="1"/>
      <protection locked="0"/>
    </xf>
    <xf numFmtId="0" fontId="30" fillId="0" borderId="123" xfId="0" applyFont="1" applyBorder="1" applyAlignment="1">
      <alignment horizontal="left" wrapText="1"/>
      <protection locked="0"/>
    </xf>
    <xf numFmtId="167" fontId="30" fillId="0" borderId="123" xfId="0" applyNumberFormat="1" applyFont="1" applyBorder="1" applyAlignment="1">
      <alignment horizontal="right"/>
      <protection locked="0"/>
    </xf>
    <xf numFmtId="39" fontId="10" fillId="0" borderId="123" xfId="0" applyNumberFormat="1" applyFont="1" applyBorder="1" applyAlignment="1">
      <alignment horizontal="right"/>
      <protection locked="0"/>
    </xf>
    <xf numFmtId="1" fontId="10" fillId="0" borderId="129" xfId="73" applyNumberFormat="1" applyFont="1" applyBorder="1" applyAlignment="1">
      <alignment horizontal="right"/>
      <protection locked="0"/>
    </xf>
    <xf numFmtId="0" fontId="291" fillId="0" borderId="129" xfId="0" applyFont="1" applyBorder="1" applyAlignment="1">
      <alignment horizontal="center" wrapText="1"/>
      <protection locked="0"/>
    </xf>
    <xf numFmtId="0" fontId="10" fillId="0" borderId="129" xfId="0" applyFont="1" applyBorder="1" applyAlignment="1" applyProtection="1"/>
    <xf numFmtId="167" fontId="10" fillId="0" borderId="129" xfId="80" applyNumberFormat="1" applyFont="1" applyBorder="1" applyAlignment="1">
      <alignment horizontal="right"/>
      <protection locked="0"/>
    </xf>
    <xf numFmtId="167" fontId="55" fillId="0" borderId="129" xfId="0" applyNumberFormat="1" applyFont="1" applyBorder="1" applyAlignment="1">
      <alignment horizontal="left" vertical="top"/>
      <protection locked="0"/>
    </xf>
    <xf numFmtId="0" fontId="76" fillId="0" borderId="129" xfId="0" applyFont="1" applyBorder="1" applyAlignment="1" applyProtection="1">
      <alignment wrapText="1"/>
    </xf>
    <xf numFmtId="167" fontId="51" fillId="0" borderId="129" xfId="0" applyNumberFormat="1" applyFont="1" applyBorder="1" applyAlignment="1" applyProtection="1"/>
    <xf numFmtId="0" fontId="98" fillId="0" borderId="129" xfId="0" applyFont="1" applyBorder="1" applyAlignment="1">
      <alignment horizontal="left" wrapText="1"/>
      <protection locked="0"/>
    </xf>
    <xf numFmtId="0" fontId="52" fillId="0" borderId="129" xfId="0" applyFont="1" applyBorder="1" applyAlignment="1">
      <alignment horizontal="left" wrapText="1"/>
      <protection locked="0"/>
    </xf>
    <xf numFmtId="167" fontId="52" fillId="0" borderId="129" xfId="0" applyNumberFormat="1" applyFont="1" applyBorder="1" applyAlignment="1">
      <alignment horizontal="left" wrapText="1"/>
      <protection locked="0"/>
    </xf>
    <xf numFmtId="171" fontId="10" fillId="0" borderId="129" xfId="0" applyNumberFormat="1" applyFont="1" applyBorder="1" applyAlignment="1">
      <alignment horizontal="right"/>
      <protection locked="0"/>
    </xf>
    <xf numFmtId="0" fontId="76" fillId="0" borderId="129" xfId="80" applyFont="1" applyBorder="1" applyAlignment="1" applyProtection="1">
      <alignment wrapText="1"/>
    </xf>
    <xf numFmtId="167" fontId="74" fillId="0" borderId="129" xfId="80" applyNumberFormat="1" applyFont="1" applyBorder="1" applyAlignment="1">
      <alignment horizontal="right" wrapText="1"/>
      <protection locked="0"/>
    </xf>
    <xf numFmtId="37" fontId="30" fillId="0" borderId="129" xfId="28" applyNumberFormat="1" applyFont="1" applyBorder="1" applyAlignment="1">
      <alignment horizontal="right"/>
      <protection locked="0"/>
    </xf>
    <xf numFmtId="49" fontId="68" fillId="0" borderId="129" xfId="28" applyNumberFormat="1" applyFont="1" applyBorder="1" applyAlignment="1">
      <alignment horizontal="left" wrapText="1"/>
      <protection locked="0"/>
    </xf>
    <xf numFmtId="0" fontId="68" fillId="0" borderId="129" xfId="28" applyFont="1" applyBorder="1" applyAlignment="1">
      <alignment horizontal="left" wrapText="1"/>
      <protection locked="0"/>
    </xf>
    <xf numFmtId="0" fontId="30" fillId="0" borderId="129" xfId="35" applyFont="1" applyBorder="1" applyAlignment="1">
      <alignment horizontal="left" vertical="center" wrapText="1"/>
      <protection locked="0"/>
    </xf>
    <xf numFmtId="167" fontId="101" fillId="0" borderId="129" xfId="28" applyNumberFormat="1" applyFont="1" applyBorder="1" applyAlignment="1">
      <alignment horizontal="right" wrapText="1"/>
      <protection locked="0"/>
    </xf>
    <xf numFmtId="4" fontId="68" fillId="0" borderId="129" xfId="28" applyNumberFormat="1" applyFont="1" applyBorder="1" applyAlignment="1">
      <alignment horizontal="right"/>
      <protection locked="0"/>
    </xf>
    <xf numFmtId="167" fontId="55" fillId="0" borderId="129" xfId="80" applyNumberFormat="1" applyFont="1" applyBorder="1" applyAlignment="1">
      <alignment horizontal="left" vertical="top"/>
      <protection locked="0"/>
    </xf>
    <xf numFmtId="0" fontId="11" fillId="0" borderId="129" xfId="80" applyFont="1" applyBorder="1" applyAlignment="1" applyProtection="1">
      <alignment wrapText="1"/>
    </xf>
    <xf numFmtId="1" fontId="10" fillId="0" borderId="129" xfId="71" applyNumberFormat="1" applyFont="1" applyBorder="1" applyAlignment="1" applyProtection="1">
      <alignment horizontal="right"/>
      <protection locked="0"/>
    </xf>
    <xf numFmtId="0" fontId="10" fillId="0" borderId="129" xfId="71" applyFont="1" applyBorder="1" applyAlignment="1" applyProtection="1">
      <alignment horizontal="left" wrapText="1"/>
      <protection locked="0"/>
    </xf>
    <xf numFmtId="0" fontId="76" fillId="0" borderId="129" xfId="71" applyFont="1" applyBorder="1" applyAlignment="1">
      <alignment vertical="center" wrapText="1"/>
    </xf>
    <xf numFmtId="4" fontId="74" fillId="0" borderId="129" xfId="71" applyNumberFormat="1" applyFont="1" applyBorder="1" applyAlignment="1" applyProtection="1">
      <alignment horizontal="right" wrapText="1"/>
      <protection locked="0"/>
    </xf>
    <xf numFmtId="37" fontId="68" fillId="0" borderId="129" xfId="0" applyNumberFormat="1" applyFont="1" applyBorder="1" applyAlignment="1">
      <alignment horizontal="right"/>
      <protection locked="0"/>
    </xf>
    <xf numFmtId="0" fontId="68" fillId="0" borderId="129" xfId="0" applyFont="1" applyBorder="1" applyAlignment="1">
      <alignment horizontal="left" wrapText="1"/>
      <protection locked="0"/>
    </xf>
    <xf numFmtId="1" fontId="10" fillId="0" borderId="129" xfId="30" applyNumberFormat="1" applyFont="1" applyBorder="1" applyAlignment="1" applyProtection="1">
      <alignment horizontal="right"/>
      <protection locked="0"/>
    </xf>
    <xf numFmtId="0" fontId="10" fillId="0" borderId="129" xfId="30" applyFont="1" applyBorder="1" applyAlignment="1" applyProtection="1">
      <alignment horizontal="left" wrapText="1"/>
      <protection locked="0"/>
    </xf>
    <xf numFmtId="0" fontId="76" fillId="0" borderId="129" xfId="30" applyFont="1" applyBorder="1" applyAlignment="1">
      <alignment vertical="center" wrapText="1"/>
    </xf>
    <xf numFmtId="4" fontId="74" fillId="0" borderId="129" xfId="30" applyNumberFormat="1" applyFont="1" applyBorder="1" applyAlignment="1" applyProtection="1">
      <alignment horizontal="right" wrapText="1"/>
      <protection locked="0"/>
    </xf>
    <xf numFmtId="49" fontId="10" fillId="0" borderId="129" xfId="0" applyNumberFormat="1" applyFont="1" applyBorder="1" applyAlignment="1">
      <alignment horizontal="left" wrapText="1"/>
      <protection locked="0"/>
    </xf>
    <xf numFmtId="49" fontId="10" fillId="0" borderId="129" xfId="75" applyNumberFormat="1" applyFont="1" applyBorder="1" applyAlignment="1" applyProtection="1">
      <alignment horizontal="right"/>
      <protection locked="0"/>
    </xf>
    <xf numFmtId="39" fontId="10" fillId="0" borderId="129" xfId="75" applyNumberFormat="1" applyFont="1" applyBorder="1" applyAlignment="1" applyProtection="1">
      <alignment horizontal="right"/>
      <protection locked="0"/>
    </xf>
    <xf numFmtId="49" fontId="10" fillId="0" borderId="129" xfId="75" applyNumberFormat="1" applyFont="1" applyBorder="1" applyAlignment="1" applyProtection="1">
      <alignment horizontal="left" wrapText="1"/>
      <protection locked="0"/>
    </xf>
    <xf numFmtId="0" fontId="30" fillId="0" borderId="129" xfId="75" applyFont="1" applyBorder="1" applyAlignment="1" applyProtection="1">
      <alignment horizontal="left" wrapText="1"/>
      <protection locked="0"/>
    </xf>
    <xf numFmtId="167" fontId="30" fillId="0" borderId="129" xfId="75" applyNumberFormat="1" applyFont="1" applyBorder="1" applyAlignment="1" applyProtection="1">
      <alignment horizontal="right"/>
      <protection locked="0"/>
    </xf>
    <xf numFmtId="167" fontId="13" fillId="0" borderId="129" xfId="0" applyNumberFormat="1" applyFont="1" applyBorder="1" applyAlignment="1">
      <alignment horizontal="left" vertical="top"/>
      <protection locked="0"/>
    </xf>
    <xf numFmtId="39" fontId="105" fillId="0" borderId="0" xfId="0" applyNumberFormat="1" applyFont="1" applyAlignment="1">
      <alignment horizontal="left" vertical="top"/>
      <protection locked="0"/>
    </xf>
    <xf numFmtId="0" fontId="10" fillId="0" borderId="0" xfId="0" applyFont="1" applyAlignment="1">
      <alignment vertical="top"/>
      <protection locked="0"/>
    </xf>
    <xf numFmtId="167" fontId="84" fillId="0" borderId="0" xfId="0" applyNumberFormat="1" applyFont="1" applyAlignment="1">
      <alignment horizontal="left" vertical="center"/>
      <protection locked="0"/>
    </xf>
    <xf numFmtId="0" fontId="54" fillId="0" borderId="0" xfId="0" applyFont="1" applyAlignment="1">
      <alignment horizontal="left"/>
      <protection locked="0"/>
    </xf>
    <xf numFmtId="0" fontId="69" fillId="0" borderId="0" xfId="85" applyFont="1" applyAlignment="1" applyProtection="1">
      <alignment horizontal="left" vertical="top"/>
      <protection locked="0"/>
    </xf>
    <xf numFmtId="0" fontId="290" fillId="0" borderId="0" xfId="6" applyFont="1" applyAlignment="1" applyProtection="1">
      <alignment horizontal="left" vertical="center"/>
      <protection locked="0"/>
    </xf>
    <xf numFmtId="0" fontId="10" fillId="0" borderId="0" xfId="0" applyFont="1" applyAlignment="1" applyProtection="1"/>
    <xf numFmtId="0" fontId="98" fillId="0" borderId="0" xfId="0" applyFont="1" applyAlignment="1">
      <alignment horizontal="left" vertical="top"/>
      <protection locked="0"/>
    </xf>
    <xf numFmtId="0" fontId="10" fillId="0" borderId="0" xfId="21" applyFont="1" applyAlignment="1">
      <alignment vertical="center"/>
    </xf>
    <xf numFmtId="1" fontId="51" fillId="0" borderId="125" xfId="0" applyNumberFormat="1" applyFont="1" applyBorder="1" applyAlignment="1" applyProtection="1">
      <alignment horizontal="right"/>
    </xf>
    <xf numFmtId="0" fontId="10" fillId="0" borderId="139" xfId="0" applyFont="1" applyBorder="1" applyAlignment="1">
      <alignment horizontal="left" wrapText="1"/>
      <protection locked="0"/>
    </xf>
    <xf numFmtId="0" fontId="30" fillId="0" borderId="139" xfId="0" applyFont="1" applyBorder="1" applyAlignment="1">
      <alignment horizontal="left" wrapText="1"/>
      <protection locked="0"/>
    </xf>
    <xf numFmtId="1" fontId="11" fillId="0" borderId="125" xfId="21" applyNumberFormat="1" applyFont="1" applyBorder="1"/>
    <xf numFmtId="167" fontId="30" fillId="0" borderId="129" xfId="80" applyNumberFormat="1" applyFont="1" applyBorder="1" applyAlignment="1">
      <alignment horizontal="right"/>
      <protection locked="0"/>
    </xf>
    <xf numFmtId="1" fontId="10" fillId="0" borderId="125" xfId="99" applyNumberFormat="1" applyFont="1" applyBorder="1" applyAlignment="1" applyProtection="1">
      <alignment horizontal="right"/>
      <protection locked="0"/>
    </xf>
    <xf numFmtId="0" fontId="10" fillId="0" borderId="125" xfId="99" applyFont="1" applyBorder="1" applyAlignment="1" applyProtection="1">
      <alignment horizontal="left" wrapText="1"/>
      <protection locked="0"/>
    </xf>
    <xf numFmtId="0" fontId="11" fillId="0" borderId="125" xfId="21" applyFont="1" applyBorder="1" applyAlignment="1">
      <alignment vertical="center"/>
    </xf>
    <xf numFmtId="0" fontId="76" fillId="0" borderId="139" xfId="0" applyFont="1" applyBorder="1" applyAlignment="1" applyProtection="1"/>
    <xf numFmtId="0" fontId="11" fillId="0" borderId="139" xfId="80" applyFont="1" applyBorder="1" applyAlignment="1" applyProtection="1"/>
    <xf numFmtId="1" fontId="10" fillId="0" borderId="125" xfId="80" applyNumberFormat="1" applyFont="1" applyBorder="1" applyAlignment="1">
      <alignment horizontal="right"/>
      <protection locked="0"/>
    </xf>
    <xf numFmtId="0" fontId="10" fillId="0" borderId="125" xfId="80" applyFont="1" applyBorder="1" applyAlignment="1">
      <alignment horizontal="left" wrapText="1"/>
      <protection locked="0"/>
    </xf>
    <xf numFmtId="1" fontId="51" fillId="0" borderId="125" xfId="99" applyNumberFormat="1" applyFont="1" applyBorder="1" applyAlignment="1">
      <alignment horizontal="right"/>
    </xf>
    <xf numFmtId="0" fontId="11" fillId="0" borderId="125" xfId="99" applyFont="1" applyBorder="1" applyAlignment="1">
      <alignment horizontal="left"/>
    </xf>
    <xf numFmtId="0" fontId="11" fillId="0" borderId="139" xfId="99" applyFont="1" applyBorder="1"/>
    <xf numFmtId="0" fontId="30" fillId="0" borderId="139" xfId="99" applyFont="1" applyBorder="1" applyAlignment="1" applyProtection="1">
      <alignment horizontal="left" wrapText="1"/>
      <protection locked="0"/>
    </xf>
    <xf numFmtId="0" fontId="39" fillId="0" borderId="139" xfId="0" applyFont="1" applyBorder="1" applyAlignment="1">
      <alignment horizontal="left" wrapText="1"/>
      <protection locked="0"/>
    </xf>
    <xf numFmtId="0" fontId="27" fillId="0" borderId="125" xfId="0" applyFont="1" applyBorder="1" applyAlignment="1" applyProtection="1">
      <alignment horizontal="right"/>
    </xf>
    <xf numFmtId="0" fontId="27" fillId="0" borderId="139" xfId="0" applyFont="1" applyBorder="1" applyAlignment="1" applyProtection="1"/>
    <xf numFmtId="0" fontId="74" fillId="0" borderId="139" xfId="80" applyFont="1" applyBorder="1" applyAlignment="1">
      <alignment horizontal="left" wrapText="1"/>
      <protection locked="0"/>
    </xf>
    <xf numFmtId="4" fontId="51" fillId="0" borderId="129" xfId="0" applyNumberFormat="1" applyFont="1" applyBorder="1" applyAlignment="1" applyProtection="1"/>
    <xf numFmtId="4" fontId="30" fillId="0" borderId="129" xfId="0" applyNumberFormat="1" applyFont="1" applyBorder="1" applyAlignment="1">
      <alignment horizontal="right"/>
      <protection locked="0"/>
    </xf>
    <xf numFmtId="49" fontId="68" fillId="0" borderId="125" xfId="40" applyNumberFormat="1" applyFont="1" applyBorder="1" applyAlignment="1">
      <alignment horizontal="left" wrapText="1"/>
      <protection locked="0"/>
    </xf>
    <xf numFmtId="0" fontId="74" fillId="0" borderId="125" xfId="35" applyFont="1" applyBorder="1" applyAlignment="1">
      <alignment horizontal="left" vertical="center" wrapText="1"/>
      <protection locked="0"/>
    </xf>
    <xf numFmtId="0" fontId="177" fillId="0" borderId="125" xfId="40" applyFont="1" applyBorder="1" applyAlignment="1">
      <alignment horizontal="center" vertical="center" wrapText="1"/>
      <protection locked="0"/>
    </xf>
    <xf numFmtId="167" fontId="30" fillId="0" borderId="125" xfId="40" applyNumberFormat="1" applyFont="1" applyBorder="1" applyAlignment="1">
      <alignment horizontal="left" wrapText="1"/>
      <protection locked="0"/>
    </xf>
    <xf numFmtId="0" fontId="51" fillId="0" borderId="139" xfId="80" applyFont="1" applyBorder="1" applyAlignment="1" applyProtection="1"/>
    <xf numFmtId="0" fontId="51" fillId="0" borderId="129" xfId="80" applyFont="1" applyBorder="1" applyAlignment="1" applyProtection="1"/>
    <xf numFmtId="167" fontId="11" fillId="0" borderId="129" xfId="80" applyNumberFormat="1" applyFont="1" applyBorder="1" applyAlignment="1" applyProtection="1"/>
    <xf numFmtId="4" fontId="11" fillId="0" borderId="129" xfId="80" applyNumberFormat="1" applyFont="1" applyBorder="1" applyAlignment="1" applyProtection="1"/>
    <xf numFmtId="167" fontId="98" fillId="0" borderId="129" xfId="0" applyNumberFormat="1" applyFont="1" applyBorder="1" applyAlignment="1">
      <alignment horizontal="left" wrapText="1"/>
      <protection locked="0"/>
    </xf>
    <xf numFmtId="167" fontId="11" fillId="0" borderId="129" xfId="0" applyNumberFormat="1" applyFont="1" applyBorder="1" applyAlignment="1" applyProtection="1"/>
    <xf numFmtId="0" fontId="0" fillId="0" borderId="125" xfId="0" applyBorder="1" applyAlignment="1" applyProtection="1"/>
    <xf numFmtId="0" fontId="39" fillId="0" borderId="139" xfId="99" applyFont="1" applyBorder="1" applyAlignment="1" applyProtection="1">
      <alignment horizontal="left" wrapText="1"/>
      <protection locked="0"/>
    </xf>
    <xf numFmtId="0" fontId="11" fillId="0" borderId="125" xfId="0" applyFont="1" applyBorder="1" applyAlignment="1" applyProtection="1">
      <alignment horizontal="right"/>
    </xf>
    <xf numFmtId="0" fontId="11" fillId="0" borderId="139" xfId="0" applyFont="1" applyBorder="1" applyAlignment="1" applyProtection="1"/>
    <xf numFmtId="0" fontId="11" fillId="0" borderId="125" xfId="21" applyFont="1" applyBorder="1"/>
    <xf numFmtId="0" fontId="76" fillId="0" borderId="139" xfId="0" applyFont="1" applyBorder="1" applyAlignment="1" applyProtection="1">
      <alignment wrapText="1"/>
    </xf>
    <xf numFmtId="167" fontId="7" fillId="0" borderId="0" xfId="99" applyNumberFormat="1" applyAlignment="1" applyProtection="1">
      <alignment horizontal="left" vertical="top"/>
      <protection locked="0"/>
    </xf>
    <xf numFmtId="167" fontId="27" fillId="0" borderId="129" xfId="0" applyNumberFormat="1" applyFont="1" applyBorder="1" applyAlignment="1" applyProtection="1"/>
    <xf numFmtId="0" fontId="27" fillId="0" borderId="125" xfId="0" applyFont="1" applyBorder="1" applyAlignment="1" applyProtection="1">
      <alignment horizontal="left"/>
    </xf>
    <xf numFmtId="0" fontId="259" fillId="0" borderId="139" xfId="0" applyFont="1" applyBorder="1" applyAlignment="1" applyProtection="1">
      <alignment wrapText="1"/>
    </xf>
    <xf numFmtId="0" fontId="27" fillId="0" borderId="125" xfId="0" applyFont="1" applyBorder="1" applyAlignment="1" applyProtection="1"/>
    <xf numFmtId="0" fontId="51" fillId="0" borderId="139" xfId="0" applyFont="1" applyBorder="1" applyAlignment="1" applyProtection="1"/>
    <xf numFmtId="49" fontId="51" fillId="0" borderId="125" xfId="0" applyNumberFormat="1" applyFont="1" applyBorder="1" applyAlignment="1" applyProtection="1">
      <alignment horizontal="left"/>
    </xf>
    <xf numFmtId="0" fontId="51" fillId="0" borderId="125" xfId="0" applyFont="1" applyBorder="1" applyAlignment="1" applyProtection="1"/>
    <xf numFmtId="0" fontId="51" fillId="0" borderId="125" xfId="0" applyFont="1" applyBorder="1" applyAlignment="1" applyProtection="1">
      <alignment horizontal="right"/>
    </xf>
    <xf numFmtId="0" fontId="39"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1" fillId="0" borderId="139" xfId="80" applyFont="1" applyBorder="1" applyAlignment="1" applyProtection="1">
      <alignment wrapText="1"/>
    </xf>
    <xf numFmtId="37" fontId="30" fillId="0" borderId="125" xfId="28" applyNumberFormat="1" applyFont="1" applyBorder="1" applyAlignment="1">
      <alignment horizontal="right"/>
      <protection locked="0"/>
    </xf>
    <xf numFmtId="49" fontId="68" fillId="0" borderId="125" xfId="28" applyNumberFormat="1" applyFont="1" applyBorder="1" applyAlignment="1">
      <alignment horizontal="left" wrapText="1"/>
      <protection locked="0"/>
    </xf>
    <xf numFmtId="0" fontId="68" fillId="0" borderId="125" xfId="28" applyFont="1" applyBorder="1" applyAlignment="1">
      <alignment horizontal="left" wrapText="1"/>
      <protection locked="0"/>
    </xf>
    <xf numFmtId="0" fontId="30" fillId="0" borderId="137" xfId="59" applyFont="1" applyBorder="1" applyAlignment="1" applyProtection="1">
      <alignment horizontal="left" vertical="center" wrapText="1"/>
      <protection locked="0"/>
    </xf>
    <xf numFmtId="167" fontId="101" fillId="0" borderId="125" xfId="28" applyNumberFormat="1" applyFont="1" applyBorder="1" applyAlignment="1">
      <alignment horizontal="right" wrapText="1"/>
      <protection locked="0"/>
    </xf>
    <xf numFmtId="4" fontId="68" fillId="0" borderId="125" xfId="28" applyNumberFormat="1" applyFont="1" applyBorder="1" applyAlignment="1">
      <alignment horizontal="right"/>
      <protection locked="0"/>
    </xf>
    <xf numFmtId="37" fontId="10" fillId="0" borderId="124" xfId="0" applyNumberFormat="1" applyFont="1" applyBorder="1" applyAlignment="1">
      <alignment horizontal="right"/>
      <protection locked="0"/>
    </xf>
    <xf numFmtId="0" fontId="51" fillId="0" borderId="124" xfId="0" applyFont="1" applyBorder="1" applyAlignment="1" applyProtection="1">
      <alignment horizontal="left"/>
    </xf>
    <xf numFmtId="0" fontId="10" fillId="0" borderId="140" xfId="0" applyFont="1" applyBorder="1" applyAlignment="1">
      <alignment horizontal="left" wrapText="1"/>
      <protection locked="0"/>
    </xf>
    <xf numFmtId="0" fontId="10" fillId="0" borderId="124" xfId="0" applyFont="1" applyBorder="1" applyAlignment="1">
      <alignment horizontal="left" wrapText="1"/>
      <protection locked="0"/>
    </xf>
    <xf numFmtId="167" fontId="10" fillId="0" borderId="124" xfId="0" applyNumberFormat="1" applyFont="1" applyBorder="1" applyAlignment="1">
      <alignment horizontal="right"/>
      <protection locked="0"/>
    </xf>
    <xf numFmtId="4" fontId="10" fillId="0" borderId="123" xfId="0" applyNumberFormat="1" applyFont="1" applyBorder="1" applyAlignment="1">
      <alignment horizontal="right"/>
      <protection locked="0"/>
    </xf>
    <xf numFmtId="0" fontId="76" fillId="0" borderId="125" xfId="0" applyFont="1" applyBorder="1" applyAlignment="1" applyProtection="1"/>
    <xf numFmtId="167" fontId="30" fillId="0" borderId="125" xfId="0" applyNumberFormat="1" applyFont="1" applyBorder="1" applyAlignment="1">
      <alignment horizontal="right" wrapText="1"/>
      <protection locked="0"/>
    </xf>
    <xf numFmtId="4" fontId="51" fillId="0" borderId="125" xfId="0" applyNumberFormat="1" applyFont="1" applyBorder="1" applyAlignment="1" applyProtection="1"/>
    <xf numFmtId="0" fontId="51" fillId="0" borderId="41" xfId="0" applyFont="1" applyBorder="1" applyAlignment="1" applyProtection="1">
      <alignment horizontal="left"/>
    </xf>
    <xf numFmtId="37" fontId="10" fillId="0" borderId="41" xfId="0" applyNumberFormat="1" applyFont="1" applyBorder="1" applyAlignment="1">
      <alignment horizontal="right"/>
      <protection locked="0"/>
    </xf>
    <xf numFmtId="167" fontId="10" fillId="0" borderId="41" xfId="0" applyNumberFormat="1" applyFont="1" applyBorder="1" applyAlignment="1">
      <alignment horizontal="right"/>
      <protection locked="0"/>
    </xf>
    <xf numFmtId="4" fontId="10" fillId="0" borderId="142" xfId="0" applyNumberFormat="1" applyFont="1" applyBorder="1" applyAlignment="1">
      <alignment horizontal="right"/>
      <protection locked="0"/>
    </xf>
    <xf numFmtId="0" fontId="82" fillId="0" borderId="0" xfId="0" applyFont="1" applyAlignment="1">
      <alignment horizontal="left" vertical="top"/>
      <protection locked="0"/>
    </xf>
    <xf numFmtId="0" fontId="0" fillId="0" borderId="0" xfId="0" applyAlignment="1">
      <alignment horizontal="center" vertical="center"/>
      <protection locked="0"/>
    </xf>
    <xf numFmtId="0" fontId="119" fillId="0" borderId="0" xfId="0" applyFont="1" applyAlignment="1">
      <alignment horizontal="left" vertical="center"/>
      <protection locked="0"/>
    </xf>
    <xf numFmtId="0" fontId="13" fillId="0" borderId="0" xfId="37" applyFont="1" applyAlignment="1" applyProtection="1">
      <alignment horizontal="left" vertical="center"/>
      <protection locked="0"/>
    </xf>
    <xf numFmtId="167" fontId="84" fillId="0" borderId="0" xfId="80" applyNumberFormat="1" applyFont="1" applyAlignment="1">
      <alignment horizontal="left" vertical="center"/>
      <protection locked="0"/>
    </xf>
    <xf numFmtId="0" fontId="115" fillId="0" borderId="0" xfId="99" applyFont="1" applyAlignment="1" applyProtection="1">
      <alignment horizontal="left" vertical="center"/>
      <protection locked="0"/>
    </xf>
    <xf numFmtId="0" fontId="150" fillId="0" borderId="0" xfId="0" applyFont="1" applyAlignment="1">
      <alignment horizontal="right" vertical="top"/>
      <protection locked="0"/>
    </xf>
    <xf numFmtId="0" fontId="249" fillId="0" borderId="0" xfId="0" applyFont="1" applyAlignment="1">
      <alignment horizontal="left" vertical="center"/>
      <protection locked="0"/>
    </xf>
    <xf numFmtId="0" fontId="34" fillId="0" borderId="0" xfId="99" applyFont="1" applyAlignment="1" applyProtection="1">
      <alignment horizontal="left" vertical="top"/>
      <protection locked="0"/>
    </xf>
    <xf numFmtId="0" fontId="27" fillId="0" borderId="0" xfId="0" applyFont="1" applyAlignment="1" applyProtection="1"/>
    <xf numFmtId="4" fontId="54" fillId="0" borderId="0" xfId="63" applyNumberFormat="1" applyFont="1" applyAlignment="1" applyProtection="1">
      <alignment horizontal="left" vertical="center"/>
      <protection locked="0"/>
    </xf>
    <xf numFmtId="0" fontId="31" fillId="0" borderId="0" xfId="0" applyFont="1" applyAlignment="1" applyProtection="1">
      <alignment vertical="center"/>
    </xf>
    <xf numFmtId="0" fontId="273" fillId="0" borderId="0" xfId="0" applyFont="1" applyAlignment="1" applyProtection="1"/>
    <xf numFmtId="0" fontId="274" fillId="0" borderId="0" xfId="0" applyFont="1" applyAlignment="1" applyProtection="1"/>
    <xf numFmtId="6" fontId="0" fillId="0" borderId="0" xfId="0" applyNumberFormat="1" applyAlignment="1" applyProtection="1">
      <alignment horizontal="right"/>
    </xf>
    <xf numFmtId="0" fontId="34" fillId="0" borderId="0" xfId="0" applyFont="1" applyAlignment="1" applyProtection="1"/>
    <xf numFmtId="0" fontId="49" fillId="0" borderId="0" xfId="0" applyFont="1" applyAlignment="1">
      <alignment horizontal="left" vertical="center"/>
      <protection locked="0"/>
    </xf>
    <xf numFmtId="0" fontId="51" fillId="0" borderId="0" xfId="0" applyFont="1" applyAlignment="1" applyProtection="1"/>
    <xf numFmtId="4" fontId="51" fillId="0" borderId="0" xfId="0" applyNumberFormat="1" applyFont="1" applyAlignment="1" applyProtection="1"/>
    <xf numFmtId="0" fontId="275" fillId="0" borderId="0" xfId="0" applyFont="1" applyAlignment="1" applyProtection="1">
      <alignment horizontal="right"/>
    </xf>
    <xf numFmtId="0" fontId="276" fillId="0" borderId="0" xfId="0" applyFont="1" applyAlignment="1" applyProtection="1"/>
    <xf numFmtId="0" fontId="13" fillId="0" borderId="0" xfId="0" applyFont="1" applyAlignment="1">
      <alignment horizontal="left"/>
      <protection locked="0"/>
    </xf>
    <xf numFmtId="0" fontId="269" fillId="0" borderId="0" xfId="0" applyFont="1" applyAlignment="1" applyProtection="1"/>
    <xf numFmtId="0" fontId="256" fillId="0" borderId="0" xfId="0" applyFont="1" applyAlignment="1">
      <alignment horizontal="left" vertical="center"/>
      <protection locked="0"/>
    </xf>
    <xf numFmtId="6" fontId="0" fillId="0" borderId="0" xfId="0" applyNumberFormat="1" applyAlignment="1">
      <alignment horizontal="left" vertical="top"/>
      <protection locked="0"/>
    </xf>
    <xf numFmtId="0" fontId="11" fillId="0" borderId="0" xfId="0" applyFont="1" applyAlignment="1" applyProtection="1"/>
    <xf numFmtId="3" fontId="0" fillId="0" borderId="0" xfId="0" applyNumberFormat="1" applyAlignment="1">
      <alignment horizontal="left" vertical="top"/>
      <protection locked="0"/>
    </xf>
    <xf numFmtId="0" fontId="34" fillId="0" borderId="0" xfId="52" applyFont="1" applyAlignment="1" applyProtection="1">
      <alignment horizontal="left" vertical="top"/>
      <protection locked="0"/>
    </xf>
    <xf numFmtId="0" fontId="116" fillId="0" borderId="0" xfId="27" applyFont="1" applyAlignment="1">
      <alignment horizontal="left" vertical="center"/>
      <protection locked="0"/>
    </xf>
    <xf numFmtId="0" fontId="72" fillId="0" borderId="38" xfId="32" applyFont="1" applyBorder="1" applyAlignment="1" applyProtection="1">
      <alignment horizontal="left" vertical="center"/>
      <protection locked="0"/>
    </xf>
    <xf numFmtId="0" fontId="9" fillId="0" borderId="38" xfId="52" applyBorder="1" applyAlignment="1" applyProtection="1">
      <alignment horizontal="left" vertical="top"/>
      <protection locked="0"/>
    </xf>
    <xf numFmtId="0" fontId="123" fillId="0" borderId="0" xfId="32" applyFont="1" applyAlignment="1" applyProtection="1">
      <alignment horizontal="left" vertical="center"/>
      <protection locked="0"/>
    </xf>
    <xf numFmtId="174" fontId="52" fillId="0" borderId="0" xfId="53" applyNumberFormat="1" applyFont="1" applyAlignment="1" applyProtection="1">
      <alignment horizontal="left" vertical="top"/>
      <protection locked="0"/>
    </xf>
    <xf numFmtId="0" fontId="104" fillId="0" borderId="0" xfId="25" applyFont="1" applyAlignment="1" applyProtection="1">
      <alignment horizontal="left" vertical="top"/>
      <protection locked="0"/>
    </xf>
    <xf numFmtId="0" fontId="105" fillId="0" borderId="0" xfId="29" applyFont="1" applyAlignment="1">
      <alignment horizontal="right"/>
    </xf>
    <xf numFmtId="171" fontId="12" fillId="0" borderId="0" xfId="3" applyNumberFormat="1" applyAlignment="1" applyProtection="1">
      <alignment horizontal="left" vertical="top"/>
      <protection locked="0"/>
    </xf>
    <xf numFmtId="172" fontId="72" fillId="0" borderId="0" xfId="3" applyNumberFormat="1" applyFont="1" applyAlignment="1">
      <alignment vertical="center"/>
    </xf>
    <xf numFmtId="39" fontId="12" fillId="0" borderId="0" xfId="3" applyNumberFormat="1" applyAlignment="1" applyProtection="1">
      <alignment horizontal="left" vertical="top"/>
      <protection locked="0"/>
    </xf>
    <xf numFmtId="2" fontId="12" fillId="0" borderId="0" xfId="3" applyNumberFormat="1"/>
    <xf numFmtId="4" fontId="78" fillId="0" borderId="0" xfId="3" applyNumberFormat="1" applyFont="1" applyAlignment="1" applyProtection="1">
      <alignment horizontal="center" vertical="center"/>
      <protection locked="0"/>
    </xf>
    <xf numFmtId="4" fontId="79" fillId="0" borderId="0" xfId="3" applyNumberFormat="1" applyFont="1" applyAlignment="1" applyProtection="1">
      <alignment horizontal="center" vertical="center"/>
      <protection locked="0"/>
    </xf>
    <xf numFmtId="0" fontId="85" fillId="0" borderId="0" xfId="3" applyFont="1" applyAlignment="1" applyProtection="1">
      <alignment horizontal="left" vertical="center"/>
      <protection locked="0"/>
    </xf>
    <xf numFmtId="0" fontId="77" fillId="0" borderId="0" xfId="32" applyFont="1" applyAlignment="1" applyProtection="1">
      <alignment horizontal="left" vertical="center"/>
      <protection locked="0"/>
    </xf>
    <xf numFmtId="4" fontId="18" fillId="0" borderId="0" xfId="3" applyNumberFormat="1" applyFont="1"/>
    <xf numFmtId="6" fontId="12" fillId="0" borderId="0" xfId="3" applyNumberFormat="1"/>
    <xf numFmtId="0" fontId="110" fillId="0" borderId="0" xfId="47" applyFont="1" applyAlignment="1">
      <alignment horizontal="left" vertical="top"/>
      <protection locked="0"/>
    </xf>
    <xf numFmtId="0" fontId="110" fillId="0" borderId="0" xfId="47" applyFont="1" applyAlignment="1">
      <alignment horizontal="left" vertical="center"/>
      <protection locked="0"/>
    </xf>
    <xf numFmtId="0" fontId="34" fillId="0" borderId="0" xfId="3" applyFont="1"/>
    <xf numFmtId="2" fontId="13" fillId="0" borderId="0" xfId="50" applyNumberFormat="1" applyFont="1" applyAlignment="1" applyProtection="1">
      <alignment horizontal="left" vertical="top"/>
      <protection locked="0"/>
    </xf>
    <xf numFmtId="4" fontId="13" fillId="0" borderId="0" xfId="50" applyNumberFormat="1" applyFont="1" applyAlignment="1" applyProtection="1">
      <alignment horizontal="left" vertical="top"/>
      <protection locked="0"/>
    </xf>
    <xf numFmtId="0" fontId="97" fillId="0" borderId="0" xfId="50" applyFont="1" applyAlignment="1" applyProtection="1">
      <alignment horizontal="left" vertical="center"/>
      <protection locked="0"/>
    </xf>
    <xf numFmtId="0" fontId="54" fillId="0" borderId="0" xfId="50" applyFont="1" applyAlignment="1" applyProtection="1">
      <alignment horizontal="left" vertical="top"/>
      <protection locked="0"/>
    </xf>
    <xf numFmtId="0" fontId="18" fillId="0" borderId="0" xfId="3" applyFont="1" applyAlignment="1" applyProtection="1">
      <alignment horizontal="left" vertical="top"/>
      <protection locked="0"/>
    </xf>
    <xf numFmtId="167" fontId="49" fillId="0" borderId="0" xfId="3" applyNumberFormat="1" applyFont="1" applyAlignment="1" applyProtection="1">
      <alignment horizontal="left" vertical="center"/>
      <protection locked="0"/>
    </xf>
    <xf numFmtId="0" fontId="83" fillId="0" borderId="0" xfId="3" applyFont="1" applyAlignment="1" applyProtection="1">
      <alignment horizontal="left" vertical="center"/>
      <protection locked="0"/>
    </xf>
    <xf numFmtId="0" fontId="41" fillId="0" borderId="0" xfId="3" applyFont="1" applyAlignment="1" applyProtection="1">
      <alignment horizontal="left" vertical="center"/>
      <protection locked="0"/>
    </xf>
    <xf numFmtId="6" fontId="12" fillId="0" borderId="0" xfId="3" applyNumberFormat="1" applyAlignment="1" applyProtection="1">
      <alignment horizontal="left" vertical="center"/>
      <protection locked="0"/>
    </xf>
    <xf numFmtId="4" fontId="9" fillId="0" borderId="0" xfId="29" applyNumberFormat="1"/>
    <xf numFmtId="37" fontId="10" fillId="0" borderId="125" xfId="64" applyNumberFormat="1" applyFont="1" applyBorder="1" applyAlignment="1" applyProtection="1">
      <alignment horizontal="right"/>
      <protection locked="0"/>
    </xf>
    <xf numFmtId="0" fontId="10" fillId="0" borderId="125" xfId="64" applyFont="1" applyBorder="1" applyAlignment="1" applyProtection="1">
      <alignment horizontal="left" wrapText="1"/>
      <protection locked="0"/>
    </xf>
    <xf numFmtId="39" fontId="10" fillId="0" borderId="125" xfId="64" applyNumberFormat="1" applyFont="1" applyBorder="1" applyAlignment="1" applyProtection="1">
      <alignment horizontal="right"/>
      <protection locked="0"/>
    </xf>
    <xf numFmtId="37" fontId="10" fillId="0" borderId="125" xfId="47" applyNumberFormat="1" applyFont="1" applyBorder="1" applyAlignment="1">
      <alignment horizontal="right"/>
      <protection locked="0"/>
    </xf>
    <xf numFmtId="49" fontId="10" fillId="0" borderId="125" xfId="64" applyNumberFormat="1" applyFont="1" applyBorder="1" applyAlignment="1" applyProtection="1">
      <alignment horizontal="left" wrapText="1"/>
      <protection locked="0"/>
    </xf>
    <xf numFmtId="0" fontId="10" fillId="0" borderId="125" xfId="47" applyFont="1" applyBorder="1" applyAlignment="1">
      <alignment horizontal="left" wrapText="1"/>
      <protection locked="0"/>
    </xf>
    <xf numFmtId="0" fontId="30" fillId="0" borderId="125" xfId="64" applyFont="1" applyBorder="1" applyAlignment="1" applyProtection="1">
      <alignment horizontal="left" wrapText="1"/>
      <protection locked="0"/>
    </xf>
    <xf numFmtId="167" fontId="30" fillId="0" borderId="125" xfId="12" applyNumberFormat="1" applyFont="1" applyBorder="1" applyAlignment="1">
      <alignment horizontal="right"/>
      <protection locked="0"/>
    </xf>
    <xf numFmtId="39" fontId="10" fillId="0" borderId="125" xfId="47" applyNumberFormat="1" applyFont="1" applyBorder="1" applyAlignment="1">
      <alignment horizontal="right"/>
      <protection locked="0"/>
    </xf>
    <xf numFmtId="39" fontId="10" fillId="13" borderId="125" xfId="47" applyNumberFormat="1" applyFont="1" applyFill="1" applyBorder="1" applyAlignment="1">
      <alignment horizontal="right"/>
      <protection locked="0"/>
    </xf>
    <xf numFmtId="0" fontId="13" fillId="0" borderId="125" xfId="47" applyBorder="1" applyAlignment="1">
      <alignment horizontal="left" vertical="top"/>
      <protection locked="0"/>
    </xf>
    <xf numFmtId="49" fontId="10" fillId="0" borderId="125" xfId="25" applyNumberFormat="1" applyFont="1" applyBorder="1" applyAlignment="1" applyProtection="1">
      <alignment horizontal="right" wrapText="1"/>
      <protection locked="0"/>
    </xf>
    <xf numFmtId="37" fontId="68" fillId="0" borderId="125" xfId="28" applyNumberFormat="1" applyFont="1" applyBorder="1" applyAlignment="1">
      <alignment horizontal="right"/>
      <protection locked="0"/>
    </xf>
    <xf numFmtId="167" fontId="30" fillId="0" borderId="125" xfId="28" applyNumberFormat="1" applyFont="1" applyBorder="1" applyAlignment="1">
      <alignment horizontal="right"/>
      <protection locked="0"/>
    </xf>
    <xf numFmtId="0" fontId="72" fillId="0" borderId="125" xfId="28" applyFont="1" applyBorder="1" applyAlignment="1">
      <alignment horizontal="right" vertical="center"/>
      <protection locked="0"/>
    </xf>
    <xf numFmtId="167" fontId="10" fillId="0" borderId="125" xfId="47" applyNumberFormat="1" applyFont="1" applyBorder="1" applyAlignment="1">
      <alignment horizontal="left" wrapText="1"/>
      <protection locked="0"/>
    </xf>
    <xf numFmtId="0" fontId="74" fillId="0" borderId="125" xfId="47" applyFont="1" applyBorder="1" applyAlignment="1">
      <alignment horizontal="left" vertical="center" wrapText="1"/>
      <protection locked="0"/>
    </xf>
    <xf numFmtId="4" fontId="10" fillId="0" borderId="125" xfId="3" applyNumberFormat="1" applyFont="1" applyBorder="1" applyAlignment="1" applyProtection="1">
      <alignment horizontal="right"/>
      <protection locked="0"/>
    </xf>
    <xf numFmtId="39" fontId="10" fillId="0" borderId="125" xfId="12" applyNumberFormat="1" applyFont="1" applyBorder="1" applyAlignment="1">
      <alignment horizontal="center"/>
      <protection locked="0"/>
    </xf>
    <xf numFmtId="4" fontId="50" fillId="0" borderId="125" xfId="3" applyNumberFormat="1" applyFont="1" applyBorder="1" applyAlignment="1" applyProtection="1">
      <alignment horizontal="right"/>
      <protection locked="0"/>
    </xf>
    <xf numFmtId="4" fontId="50" fillId="13" borderId="125" xfId="3" applyNumberFormat="1" applyFont="1" applyFill="1" applyBorder="1" applyAlignment="1" applyProtection="1">
      <alignment horizontal="right"/>
      <protection locked="0"/>
    </xf>
    <xf numFmtId="0" fontId="315" fillId="0" borderId="0" xfId="70" applyFont="1" applyAlignment="1">
      <alignment horizontal="left" vertical="center" wrapText="1"/>
    </xf>
    <xf numFmtId="0" fontId="316" fillId="0" borderId="64" xfId="70" applyFont="1" applyBorder="1" applyAlignment="1" applyProtection="1">
      <alignment horizontal="center" vertical="center"/>
      <protection locked="0"/>
    </xf>
    <xf numFmtId="0" fontId="207" fillId="0" borderId="0" xfId="70" applyFont="1" applyAlignment="1">
      <alignment horizontal="left" vertical="center"/>
    </xf>
    <xf numFmtId="0" fontId="315" fillId="0" borderId="64" xfId="70" applyFont="1" applyBorder="1" applyAlignment="1">
      <alignment horizontal="left" vertical="center" wrapText="1"/>
    </xf>
    <xf numFmtId="0" fontId="61" fillId="0" borderId="153" xfId="70" applyFont="1" applyBorder="1" applyAlignment="1" applyProtection="1">
      <alignment horizontal="left" vertical="center" wrapText="1"/>
      <protection locked="0"/>
    </xf>
    <xf numFmtId="0" fontId="61" fillId="0" borderId="57" xfId="70" applyFont="1" applyBorder="1" applyAlignment="1" applyProtection="1">
      <alignment horizontal="left" vertical="center" wrapText="1"/>
      <protection locked="0"/>
    </xf>
    <xf numFmtId="0" fontId="316" fillId="0" borderId="64" xfId="70" applyFont="1" applyBorder="1" applyAlignment="1" applyProtection="1">
      <alignment horizontal="left" vertical="center" wrapText="1"/>
      <protection locked="0"/>
    </xf>
    <xf numFmtId="49" fontId="316" fillId="0" borderId="64" xfId="70" applyNumberFormat="1" applyFont="1" applyBorder="1" applyAlignment="1" applyProtection="1">
      <alignment horizontal="left" vertical="center" wrapText="1"/>
      <protection locked="0"/>
    </xf>
    <xf numFmtId="167" fontId="316" fillId="0" borderId="64" xfId="70" applyNumberFormat="1" applyFont="1" applyBorder="1" applyAlignment="1" applyProtection="1">
      <alignment vertical="center"/>
      <protection locked="0"/>
    </xf>
    <xf numFmtId="167" fontId="315" fillId="0" borderId="0" xfId="70" applyNumberFormat="1" applyFont="1" applyAlignment="1">
      <alignment vertical="center"/>
    </xf>
    <xf numFmtId="0" fontId="316" fillId="0" borderId="64" xfId="70" applyFont="1" applyBorder="1" applyAlignment="1" applyProtection="1">
      <alignment horizontal="center" vertical="center" wrapText="1"/>
      <protection locked="0"/>
    </xf>
    <xf numFmtId="4" fontId="316" fillId="0" borderId="64" xfId="70" applyNumberFormat="1" applyFont="1" applyBorder="1" applyAlignment="1" applyProtection="1">
      <alignment vertical="center"/>
      <protection locked="0"/>
    </xf>
    <xf numFmtId="0" fontId="315" fillId="0" borderId="125" xfId="0" applyFont="1" applyBorder="1" applyAlignment="1">
      <alignment horizontal="left" wrapText="1"/>
      <protection locked="0"/>
    </xf>
    <xf numFmtId="37" fontId="315" fillId="0" borderId="30" xfId="0" applyNumberFormat="1" applyFont="1" applyBorder="1" applyAlignment="1">
      <alignment horizontal="right"/>
      <protection locked="0"/>
    </xf>
    <xf numFmtId="0" fontId="315" fillId="0" borderId="0" xfId="70" applyFont="1" applyAlignment="1">
      <alignment vertical="center"/>
    </xf>
    <xf numFmtId="37" fontId="315" fillId="0" borderId="87" xfId="3" applyNumberFormat="1" applyFont="1" applyBorder="1" applyAlignment="1" applyProtection="1">
      <alignment horizontal="right"/>
      <protection locked="0"/>
    </xf>
    <xf numFmtId="0" fontId="315" fillId="0" borderId="87" xfId="3" applyFont="1" applyBorder="1" applyAlignment="1" applyProtection="1">
      <alignment horizontal="left" wrapText="1"/>
      <protection locked="0"/>
    </xf>
    <xf numFmtId="0" fontId="315" fillId="0" borderId="87" xfId="37" applyFont="1" applyBorder="1" applyAlignment="1">
      <alignment horizontal="left" wrapText="1"/>
    </xf>
    <xf numFmtId="37" fontId="315" fillId="0" borderId="15" xfId="0" applyNumberFormat="1" applyFont="1" applyBorder="1" applyAlignment="1">
      <alignment horizontal="right"/>
      <protection locked="0"/>
    </xf>
    <xf numFmtId="37" fontId="315" fillId="0" borderId="129" xfId="94" applyNumberFormat="1" applyFont="1" applyBorder="1" applyAlignment="1" applyProtection="1">
      <alignment horizontal="right"/>
      <protection locked="0"/>
    </xf>
    <xf numFmtId="49" fontId="319" fillId="0" borderId="30" xfId="3" applyNumberFormat="1" applyFont="1" applyBorder="1" applyAlignment="1" applyProtection="1">
      <alignment horizontal="right"/>
      <protection locked="0"/>
    </xf>
    <xf numFmtId="0" fontId="319" fillId="0" borderId="30" xfId="3" applyFont="1" applyBorder="1" applyAlignment="1" applyProtection="1">
      <alignment horizontal="left" wrapText="1"/>
      <protection locked="0"/>
    </xf>
    <xf numFmtId="167" fontId="319" fillId="0" borderId="30" xfId="30" applyNumberFormat="1" applyFont="1" applyBorder="1" applyAlignment="1" applyProtection="1">
      <alignment horizontal="right"/>
      <protection locked="0"/>
    </xf>
    <xf numFmtId="39" fontId="319" fillId="0" borderId="30" xfId="3" applyNumberFormat="1" applyFont="1" applyBorder="1" applyAlignment="1" applyProtection="1">
      <alignment horizontal="right"/>
      <protection locked="0"/>
    </xf>
    <xf numFmtId="4" fontId="319" fillId="12" borderId="30" xfId="31" applyNumberFormat="1" applyFont="1" applyFill="1" applyBorder="1" applyAlignment="1" applyProtection="1">
      <alignment horizontal="right"/>
      <protection locked="0"/>
    </xf>
    <xf numFmtId="39" fontId="319" fillId="0" borderId="30" xfId="3" applyNumberFormat="1" applyFont="1" applyBorder="1" applyAlignment="1" applyProtection="1">
      <alignment horizontal="center"/>
      <protection locked="0"/>
    </xf>
    <xf numFmtId="0" fontId="319" fillId="0" borderId="30" xfId="25" applyFont="1" applyBorder="1" applyAlignment="1" applyProtection="1">
      <alignment horizontal="left" wrapText="1"/>
      <protection locked="0"/>
    </xf>
    <xf numFmtId="167" fontId="319" fillId="0" borderId="30" xfId="25" applyNumberFormat="1" applyFont="1" applyBorder="1" applyAlignment="1" applyProtection="1">
      <alignment horizontal="right"/>
      <protection locked="0"/>
    </xf>
    <xf numFmtId="39" fontId="319" fillId="12" borderId="30" xfId="3" applyNumberFormat="1" applyFont="1" applyFill="1" applyBorder="1" applyAlignment="1" applyProtection="1">
      <alignment horizontal="right"/>
      <protection locked="0"/>
    </xf>
    <xf numFmtId="1" fontId="321" fillId="0" borderId="125" xfId="0" applyNumberFormat="1" applyFont="1" applyBorder="1" applyAlignment="1" applyProtection="1">
      <alignment horizontal="right"/>
    </xf>
    <xf numFmtId="1" fontId="315" fillId="0" borderId="125" xfId="73" applyNumberFormat="1" applyFont="1" applyBorder="1" applyAlignment="1">
      <alignment horizontal="right"/>
      <protection locked="0"/>
    </xf>
    <xf numFmtId="167" fontId="315" fillId="0" borderId="15" xfId="0" applyNumberFormat="1" applyFont="1" applyBorder="1" applyAlignment="1">
      <alignment horizontal="right"/>
      <protection locked="0"/>
    </xf>
    <xf numFmtId="167" fontId="321" fillId="0" borderId="15" xfId="0" applyNumberFormat="1" applyFont="1" applyBorder="1" applyAlignment="1" applyProtection="1"/>
    <xf numFmtId="0" fontId="315" fillId="0" borderId="15" xfId="0" applyFont="1" applyBorder="1" applyAlignment="1">
      <alignment horizontal="left" wrapText="1"/>
      <protection locked="0"/>
    </xf>
    <xf numFmtId="0" fontId="315" fillId="0" borderId="15" xfId="80" applyFont="1" applyBorder="1" applyAlignment="1">
      <alignment horizontal="left" wrapText="1"/>
      <protection locked="0"/>
    </xf>
    <xf numFmtId="39" fontId="315" fillId="0" borderId="15" xfId="0" applyNumberFormat="1" applyFont="1" applyBorder="1" applyAlignment="1">
      <alignment horizontal="right"/>
      <protection locked="0"/>
    </xf>
    <xf numFmtId="4" fontId="315" fillId="12" borderId="125" xfId="90" applyNumberFormat="1" applyFont="1" applyFill="1" applyBorder="1" applyAlignment="1" applyProtection="1">
      <alignment horizontal="right"/>
      <protection locked="0"/>
    </xf>
    <xf numFmtId="39" fontId="315" fillId="13" borderId="15" xfId="0" applyNumberFormat="1" applyFont="1" applyFill="1" applyBorder="1" applyAlignment="1">
      <alignment horizontal="right"/>
      <protection locked="0"/>
    </xf>
    <xf numFmtId="39" fontId="315" fillId="0" borderId="15" xfId="80" applyNumberFormat="1" applyFont="1" applyBorder="1" applyAlignment="1">
      <alignment horizontal="center"/>
      <protection locked="0"/>
    </xf>
    <xf numFmtId="39" fontId="315" fillId="12" borderId="15" xfId="0" applyNumberFormat="1" applyFont="1" applyFill="1" applyBorder="1" applyAlignment="1">
      <alignment horizontal="right"/>
      <protection locked="0"/>
    </xf>
    <xf numFmtId="0" fontId="315" fillId="0" borderId="129" xfId="94" applyFont="1" applyBorder="1" applyAlignment="1" applyProtection="1">
      <alignment horizontal="left" wrapText="1"/>
      <protection locked="0"/>
    </xf>
    <xf numFmtId="0" fontId="315" fillId="0" borderId="129" xfId="80" applyFont="1" applyBorder="1" applyAlignment="1">
      <alignment horizontal="left" wrapText="1"/>
      <protection locked="0"/>
    </xf>
    <xf numFmtId="167" fontId="321" fillId="0" borderId="129" xfId="94" applyNumberFormat="1" applyFont="1" applyBorder="1"/>
    <xf numFmtId="39" fontId="315" fillId="0" borderId="129" xfId="94" applyNumberFormat="1" applyFont="1" applyBorder="1" applyAlignment="1" applyProtection="1">
      <alignment horizontal="right"/>
      <protection locked="0"/>
    </xf>
    <xf numFmtId="4" fontId="315" fillId="13" borderId="125" xfId="31" applyNumberFormat="1" applyFont="1" applyFill="1" applyBorder="1" applyAlignment="1" applyProtection="1">
      <alignment horizontal="right"/>
      <protection locked="0"/>
    </xf>
    <xf numFmtId="39" fontId="315" fillId="0" borderId="129" xfId="80" applyNumberFormat="1" applyFont="1" applyBorder="1" applyAlignment="1">
      <alignment horizontal="center"/>
      <protection locked="0"/>
    </xf>
    <xf numFmtId="167" fontId="315" fillId="0" borderId="129" xfId="94" applyNumberFormat="1" applyFont="1" applyBorder="1" applyAlignment="1" applyProtection="1">
      <alignment horizontal="right"/>
      <protection locked="0"/>
    </xf>
    <xf numFmtId="39" fontId="315" fillId="13" borderId="129" xfId="94" applyNumberFormat="1" applyFont="1" applyFill="1" applyBorder="1" applyAlignment="1" applyProtection="1">
      <alignment horizontal="right"/>
      <protection locked="0"/>
    </xf>
    <xf numFmtId="0" fontId="315" fillId="0" borderId="0" xfId="70" applyFont="1" applyAlignment="1">
      <alignment horizontal="left" vertical="center"/>
    </xf>
    <xf numFmtId="0" fontId="318" fillId="0" borderId="64" xfId="70" applyFont="1" applyBorder="1" applyAlignment="1" applyProtection="1">
      <alignment horizontal="center" vertical="center"/>
      <protection locked="0"/>
    </xf>
    <xf numFmtId="167" fontId="318" fillId="0" borderId="64" xfId="70" applyNumberFormat="1" applyFont="1" applyBorder="1" applyAlignment="1" applyProtection="1">
      <alignment vertical="center"/>
      <protection locked="0"/>
    </xf>
    <xf numFmtId="0" fontId="320" fillId="0" borderId="0" xfId="70" applyFont="1" applyAlignment="1">
      <alignment vertical="center"/>
    </xf>
    <xf numFmtId="49" fontId="318" fillId="0" borderId="64" xfId="70" applyNumberFormat="1" applyFont="1" applyBorder="1" applyAlignment="1" applyProtection="1">
      <alignment horizontal="left" vertical="center" wrapText="1"/>
      <protection locked="0"/>
    </xf>
    <xf numFmtId="0" fontId="318" fillId="0" borderId="64" xfId="70" applyFont="1" applyBorder="1" applyAlignment="1" applyProtection="1">
      <alignment horizontal="left" vertical="center" wrapText="1"/>
      <protection locked="0"/>
    </xf>
    <xf numFmtId="0" fontId="318" fillId="0" borderId="64" xfId="70" applyFont="1" applyBorder="1" applyAlignment="1" applyProtection="1">
      <alignment horizontal="center" vertical="center" wrapText="1"/>
      <protection locked="0"/>
    </xf>
    <xf numFmtId="4" fontId="318" fillId="0" borderId="64" xfId="70" applyNumberFormat="1" applyFont="1" applyBorder="1" applyAlignment="1" applyProtection="1">
      <alignment vertical="center"/>
      <protection locked="0"/>
    </xf>
    <xf numFmtId="49" fontId="321" fillId="0" borderId="129" xfId="24" applyNumberFormat="1" applyFont="1" applyBorder="1" applyAlignment="1">
      <alignment horizontal="left"/>
    </xf>
    <xf numFmtId="0" fontId="321" fillId="0" borderId="15" xfId="21" applyFont="1" applyBorder="1"/>
    <xf numFmtId="0" fontId="315" fillId="0" borderId="129" xfId="24" applyFont="1" applyBorder="1" applyAlignment="1" applyProtection="1">
      <alignment horizontal="left" wrapText="1"/>
      <protection locked="0"/>
    </xf>
    <xf numFmtId="4" fontId="315" fillId="0" borderId="125" xfId="24" applyNumberFormat="1" applyFont="1" applyBorder="1" applyAlignment="1" applyProtection="1">
      <alignment horizontal="right"/>
      <protection locked="0"/>
    </xf>
    <xf numFmtId="4" fontId="315" fillId="13" borderId="15" xfId="80" applyNumberFormat="1" applyFont="1" applyFill="1" applyBorder="1" applyAlignment="1">
      <alignment horizontal="right"/>
      <protection locked="0"/>
    </xf>
    <xf numFmtId="0" fontId="321" fillId="0" borderId="129" xfId="24" applyFont="1" applyBorder="1" applyAlignment="1">
      <alignment wrapText="1"/>
    </xf>
    <xf numFmtId="4" fontId="315" fillId="12" borderId="15" xfId="80" applyNumberFormat="1" applyFont="1" applyFill="1" applyBorder="1" applyAlignment="1">
      <alignment horizontal="right"/>
      <protection locked="0"/>
    </xf>
    <xf numFmtId="0" fontId="322" fillId="0" borderId="0" xfId="24" applyFont="1" applyAlignment="1" applyProtection="1">
      <alignment horizontal="left" vertical="top"/>
      <protection locked="0"/>
    </xf>
    <xf numFmtId="4" fontId="317" fillId="12" borderId="15" xfId="0" applyNumberFormat="1" applyFont="1" applyFill="1" applyBorder="1" applyAlignment="1">
      <alignment horizontal="right"/>
      <protection locked="0"/>
    </xf>
    <xf numFmtId="4" fontId="317" fillId="13" borderId="15" xfId="0" applyNumberFormat="1" applyFont="1" applyFill="1" applyBorder="1" applyAlignment="1">
      <alignment horizontal="right"/>
      <protection locked="0"/>
    </xf>
    <xf numFmtId="0" fontId="123" fillId="0" borderId="0" xfId="70" applyFont="1" applyAlignment="1">
      <alignment vertical="center"/>
    </xf>
    <xf numFmtId="0" fontId="61" fillId="0" borderId="154" xfId="70" applyFont="1" applyBorder="1" applyAlignment="1" applyProtection="1">
      <alignment horizontal="center" vertical="center"/>
      <protection locked="0"/>
    </xf>
    <xf numFmtId="49" fontId="61" fillId="0" borderId="154" xfId="70" applyNumberFormat="1" applyFont="1" applyBorder="1" applyAlignment="1" applyProtection="1">
      <alignment horizontal="left" vertical="center" wrapText="1"/>
      <protection locked="0"/>
    </xf>
    <xf numFmtId="0" fontId="61" fillId="0" borderId="154" xfId="70" applyFont="1" applyBorder="1" applyAlignment="1" applyProtection="1">
      <alignment horizontal="left" vertical="center" wrapText="1"/>
      <protection locked="0"/>
    </xf>
    <xf numFmtId="0" fontId="61" fillId="0" borderId="154" xfId="70" applyFont="1" applyBorder="1" applyAlignment="1" applyProtection="1">
      <alignment horizontal="center" vertical="center" wrapText="1"/>
      <protection locked="0"/>
    </xf>
    <xf numFmtId="167" fontId="61" fillId="0" borderId="154" xfId="70" applyNumberFormat="1" applyFont="1" applyBorder="1" applyAlignment="1" applyProtection="1">
      <alignment vertical="center"/>
      <protection locked="0"/>
    </xf>
    <xf numFmtId="4" fontId="61" fillId="0" borderId="154" xfId="70" applyNumberFormat="1" applyFont="1" applyBorder="1" applyAlignment="1" applyProtection="1">
      <alignment vertical="center"/>
      <protection locked="0"/>
    </xf>
    <xf numFmtId="0" fontId="223" fillId="0" borderId="64" xfId="70" applyFont="1" applyBorder="1" applyAlignment="1">
      <alignment vertical="center"/>
    </xf>
    <xf numFmtId="0" fontId="221" fillId="0" borderId="64" xfId="70" applyFont="1" applyBorder="1" applyAlignment="1">
      <alignment horizontal="left" vertical="center"/>
    </xf>
    <xf numFmtId="0" fontId="223" fillId="0" borderId="64" xfId="70" applyFont="1" applyBorder="1" applyAlignment="1">
      <alignment horizontal="left" vertical="center"/>
    </xf>
    <xf numFmtId="0" fontId="315" fillId="0" borderId="64" xfId="0" applyFont="1" applyBorder="1" applyAlignment="1">
      <alignment horizontal="left" wrapText="1"/>
      <protection locked="0"/>
    </xf>
    <xf numFmtId="167" fontId="223" fillId="0" borderId="64" xfId="70" applyNumberFormat="1" applyFont="1" applyBorder="1" applyAlignment="1">
      <alignment vertical="center"/>
    </xf>
    <xf numFmtId="0" fontId="315" fillId="0" borderId="64" xfId="0" applyFont="1" applyBorder="1" applyAlignment="1">
      <alignment horizontal="left" vertical="center" wrapText="1"/>
      <protection locked="0"/>
    </xf>
    <xf numFmtId="0" fontId="223" fillId="0" borderId="155" xfId="70" applyFont="1" applyBorder="1" applyAlignment="1">
      <alignment vertical="center"/>
    </xf>
    <xf numFmtId="0" fontId="223" fillId="0" borderId="57" xfId="70" applyFont="1" applyBorder="1" applyAlignment="1">
      <alignment vertical="center"/>
    </xf>
    <xf numFmtId="0" fontId="316" fillId="0" borderId="154" xfId="70" applyFont="1" applyBorder="1" applyAlignment="1" applyProtection="1">
      <alignment horizontal="center" vertical="center"/>
      <protection locked="0"/>
    </xf>
    <xf numFmtId="167" fontId="315" fillId="0" borderId="64" xfId="70" applyNumberFormat="1" applyFont="1" applyBorder="1" applyAlignment="1">
      <alignment vertical="center"/>
    </xf>
    <xf numFmtId="37" fontId="315" fillId="0" borderId="125" xfId="0" applyNumberFormat="1" applyFont="1" applyBorder="1" applyAlignment="1">
      <alignment horizontal="right"/>
      <protection locked="0"/>
    </xf>
    <xf numFmtId="4" fontId="315" fillId="13" borderId="125" xfId="46" applyNumberFormat="1" applyFont="1" applyFill="1" applyBorder="1" applyAlignment="1">
      <alignment horizontal="right"/>
      <protection locked="0"/>
    </xf>
    <xf numFmtId="37" fontId="315" fillId="0" borderId="125" xfId="64" applyNumberFormat="1" applyFont="1" applyBorder="1" applyAlignment="1" applyProtection="1">
      <alignment horizontal="right"/>
      <protection locked="0"/>
    </xf>
    <xf numFmtId="0" fontId="197" fillId="0" borderId="0" xfId="70" applyAlignment="1">
      <alignment horizontal="right" vertical="center"/>
    </xf>
    <xf numFmtId="167" fontId="223" fillId="0" borderId="44" xfId="70" applyNumberFormat="1" applyFont="1" applyBorder="1" applyAlignment="1">
      <alignment vertical="center"/>
    </xf>
    <xf numFmtId="0" fontId="323" fillId="0" borderId="0" xfId="70" applyFont="1" applyAlignment="1">
      <alignment horizontal="left" vertical="center"/>
    </xf>
    <xf numFmtId="167" fontId="324" fillId="0" borderId="0" xfId="70" applyNumberFormat="1" applyFont="1" applyAlignment="1">
      <alignment vertical="center"/>
    </xf>
    <xf numFmtId="167" fontId="325" fillId="0" borderId="64" xfId="70" applyNumberFormat="1" applyFont="1" applyBorder="1" applyAlignment="1" applyProtection="1">
      <alignment vertical="center"/>
      <protection locked="0"/>
    </xf>
    <xf numFmtId="0" fontId="325" fillId="0" borderId="64" xfId="70" applyFont="1" applyBorder="1" applyAlignment="1" applyProtection="1">
      <alignment horizontal="center" vertical="center"/>
      <protection locked="0"/>
    </xf>
    <xf numFmtId="0" fontId="324" fillId="0" borderId="0" xfId="70" applyFont="1" applyAlignment="1">
      <alignment horizontal="left" vertical="center" wrapText="1"/>
    </xf>
    <xf numFmtId="49" fontId="325" fillId="0" borderId="64" xfId="70" applyNumberFormat="1" applyFont="1" applyBorder="1" applyAlignment="1" applyProtection="1">
      <alignment horizontal="left" vertical="center" wrapText="1"/>
      <protection locked="0"/>
    </xf>
    <xf numFmtId="0" fontId="325" fillId="0" borderId="64" xfId="70" applyFont="1" applyBorder="1" applyAlignment="1" applyProtection="1">
      <alignment horizontal="left" vertical="center" wrapText="1"/>
      <protection locked="0"/>
    </xf>
    <xf numFmtId="0" fontId="325" fillId="0" borderId="64" xfId="70" applyFont="1" applyBorder="1" applyAlignment="1" applyProtection="1">
      <alignment horizontal="center" vertical="center" wrapText="1"/>
      <protection locked="0"/>
    </xf>
    <xf numFmtId="4" fontId="325" fillId="0" borderId="64" xfId="70" applyNumberFormat="1" applyFont="1" applyBorder="1" applyAlignment="1" applyProtection="1">
      <alignment vertical="center"/>
      <protection locked="0"/>
    </xf>
    <xf numFmtId="0" fontId="324" fillId="0" borderId="0" xfId="70" applyFont="1" applyAlignment="1">
      <alignment vertical="center"/>
    </xf>
    <xf numFmtId="0" fontId="326" fillId="0" borderId="0" xfId="70" applyFont="1" applyAlignment="1">
      <alignment horizontal="left" vertical="center"/>
    </xf>
    <xf numFmtId="0" fontId="324" fillId="0" borderId="0" xfId="70" applyFont="1" applyAlignment="1">
      <alignment horizontal="left" vertical="center"/>
    </xf>
    <xf numFmtId="0" fontId="327" fillId="0" borderId="64" xfId="70" applyFont="1" applyBorder="1" applyAlignment="1" applyProtection="1">
      <alignment horizontal="center" vertical="center"/>
      <protection locked="0"/>
    </xf>
    <xf numFmtId="4" fontId="315" fillId="0" borderId="64" xfId="70" applyNumberFormat="1" applyFont="1" applyBorder="1" applyAlignment="1" applyProtection="1">
      <alignment vertical="center" wrapText="1"/>
      <protection locked="0"/>
    </xf>
    <xf numFmtId="167" fontId="220" fillId="0" borderId="0" xfId="70" applyNumberFormat="1" applyFont="1" applyAlignment="1">
      <alignment vertical="center"/>
    </xf>
    <xf numFmtId="0" fontId="165" fillId="0" borderId="0" xfId="24" applyFont="1"/>
    <xf numFmtId="0" fontId="49" fillId="0" borderId="0" xfId="24" applyFont="1" applyAlignment="1">
      <alignment horizontal="right"/>
    </xf>
    <xf numFmtId="0" fontId="1" fillId="0" borderId="0" xfId="125" applyAlignment="1" applyProtection="1">
      <alignment horizontal="left" vertical="top"/>
      <protection locked="0"/>
    </xf>
    <xf numFmtId="37" fontId="39" fillId="0" borderId="0" xfId="24" applyNumberFormat="1" applyFont="1" applyAlignment="1" applyProtection="1">
      <alignment horizontal="right"/>
      <protection locked="0"/>
    </xf>
    <xf numFmtId="0" fontId="39" fillId="0" borderId="0" xfId="24" applyFont="1" applyAlignment="1" applyProtection="1">
      <alignment horizontal="left" wrapText="1"/>
      <protection locked="0"/>
    </xf>
    <xf numFmtId="39" fontId="39" fillId="0" borderId="0" xfId="24" applyNumberFormat="1" applyFont="1" applyAlignment="1" applyProtection="1">
      <alignment horizontal="right"/>
      <protection locked="0"/>
    </xf>
    <xf numFmtId="0" fontId="40" fillId="0" borderId="0" xfId="24" applyAlignment="1">
      <alignment vertical="center"/>
    </xf>
    <xf numFmtId="37" fontId="87" fillId="0" borderId="0" xfId="28" applyNumberFormat="1" applyFont="1" applyAlignment="1">
      <alignment horizontal="left" vertical="center"/>
      <protection locked="0"/>
    </xf>
    <xf numFmtId="0" fontId="328" fillId="0" borderId="0" xfId="24" applyFont="1" applyAlignment="1" applyProtection="1">
      <alignment vertical="top"/>
      <protection locked="0"/>
    </xf>
    <xf numFmtId="0" fontId="14" fillId="0" borderId="0" xfId="24" applyFont="1" applyAlignment="1">
      <alignment horizontal="left" vertical="center"/>
    </xf>
    <xf numFmtId="0" fontId="40" fillId="0" borderId="0" xfId="24" applyAlignment="1">
      <alignment horizontal="right"/>
    </xf>
    <xf numFmtId="6" fontId="40" fillId="0" borderId="0" xfId="24" applyNumberFormat="1" applyAlignment="1">
      <alignment horizontal="right"/>
    </xf>
    <xf numFmtId="0" fontId="40" fillId="0" borderId="0" xfId="24" applyAlignment="1" applyProtection="1">
      <alignment vertical="center"/>
      <protection locked="0"/>
    </xf>
    <xf numFmtId="37" fontId="125" fillId="0" borderId="0" xfId="51" applyNumberFormat="1" applyFill="1" applyAlignment="1">
      <alignment horizontal="left" vertical="center"/>
      <protection locked="0"/>
    </xf>
    <xf numFmtId="0" fontId="1" fillId="0" borderId="0" xfId="125" applyAlignment="1">
      <alignment vertical="center"/>
    </xf>
    <xf numFmtId="0" fontId="1" fillId="0" borderId="0" xfId="125"/>
    <xf numFmtId="0" fontId="1" fillId="0" borderId="0" xfId="125" applyAlignment="1" applyProtection="1">
      <alignment vertical="top"/>
      <protection locked="0"/>
    </xf>
    <xf numFmtId="0" fontId="1" fillId="0" borderId="0" xfId="125" applyAlignment="1" applyProtection="1">
      <alignment horizontal="right" vertical="center"/>
      <protection locked="0"/>
    </xf>
    <xf numFmtId="39" fontId="10" fillId="0" borderId="0" xfId="125" applyNumberFormat="1" applyFont="1" applyAlignment="1" applyProtection="1">
      <alignment horizontal="center"/>
      <protection locked="0"/>
    </xf>
    <xf numFmtId="167" fontId="69" fillId="0" borderId="0" xfId="28" applyNumberFormat="1" applyFont="1" applyAlignment="1">
      <alignment horizontal="left" vertical="top"/>
      <protection locked="0"/>
    </xf>
    <xf numFmtId="0" fontId="83" fillId="0" borderId="0" xfId="28" applyFont="1" applyAlignment="1">
      <alignment horizontal="right" vertical="center"/>
      <protection locked="0"/>
    </xf>
    <xf numFmtId="4" fontId="105" fillId="0" borderId="0" xfId="24" applyNumberFormat="1" applyFont="1" applyAlignment="1" applyProtection="1">
      <alignment vertical="top"/>
      <protection locked="0"/>
    </xf>
    <xf numFmtId="37" fontId="40" fillId="0" borderId="0" xfId="24" applyNumberFormat="1" applyAlignment="1" applyProtection="1">
      <alignment horizontal="right" vertical="top"/>
      <protection locked="0"/>
    </xf>
    <xf numFmtId="0" fontId="40" fillId="0" borderId="0" xfId="24" applyAlignment="1" applyProtection="1">
      <alignment horizontal="left" vertical="top" wrapText="1"/>
      <protection locked="0"/>
    </xf>
    <xf numFmtId="170" fontId="40" fillId="0" borderId="0" xfId="24" applyNumberFormat="1" applyAlignment="1" applyProtection="1">
      <alignment horizontal="right" vertical="top"/>
      <protection locked="0"/>
    </xf>
    <xf numFmtId="39" fontId="40" fillId="0" borderId="0" xfId="24" applyNumberFormat="1" applyAlignment="1" applyProtection="1">
      <alignment horizontal="right" vertical="top"/>
      <protection locked="0"/>
    </xf>
    <xf numFmtId="0" fontId="146" fillId="0" borderId="0" xfId="24" applyFont="1" applyAlignment="1" applyProtection="1">
      <alignment horizontal="center" vertical="center" wrapText="1"/>
      <protection locked="0"/>
    </xf>
    <xf numFmtId="0" fontId="39" fillId="0" borderId="0" xfId="24" applyFont="1" applyAlignment="1" applyProtection="1">
      <alignment horizontal="left" vertical="center"/>
      <protection locked="0"/>
    </xf>
    <xf numFmtId="2" fontId="39" fillId="0" borderId="0" xfId="24" applyNumberFormat="1" applyFont="1" applyAlignment="1" applyProtection="1">
      <alignment horizontal="right"/>
      <protection locked="0"/>
    </xf>
    <xf numFmtId="0" fontId="317" fillId="0" borderId="0" xfId="125" applyFont="1" applyAlignment="1">
      <alignment horizontal="left"/>
    </xf>
    <xf numFmtId="0" fontId="315" fillId="0" borderId="0" xfId="125" applyFont="1" applyAlignment="1">
      <alignment horizontal="left"/>
    </xf>
    <xf numFmtId="0" fontId="323" fillId="0" borderId="0" xfId="125" applyFont="1" applyAlignment="1">
      <alignment horizontal="left"/>
    </xf>
    <xf numFmtId="0" fontId="329" fillId="0" borderId="0" xfId="125" applyFont="1" applyAlignment="1" applyProtection="1">
      <alignment horizontal="left" vertical="top"/>
      <protection locked="0"/>
    </xf>
    <xf numFmtId="0" fontId="323" fillId="0" borderId="0" xfId="24" applyFont="1" applyAlignment="1">
      <alignment horizontal="left"/>
    </xf>
    <xf numFmtId="0" fontId="330" fillId="0" borderId="0" xfId="24" applyFont="1" applyAlignment="1">
      <alignment horizontal="left"/>
    </xf>
    <xf numFmtId="0" fontId="331" fillId="0" borderId="0" xfId="24" applyFont="1"/>
    <xf numFmtId="0" fontId="332" fillId="0" borderId="0" xfId="24" applyFont="1" applyAlignment="1" applyProtection="1">
      <alignment horizontal="left" vertical="top"/>
      <protection locked="0"/>
    </xf>
    <xf numFmtId="0" fontId="333" fillId="0" borderId="0" xfId="24" applyFont="1" applyAlignment="1">
      <alignment vertical="center"/>
    </xf>
    <xf numFmtId="0" fontId="334" fillId="0" borderId="31" xfId="24" applyFont="1" applyBorder="1" applyAlignment="1">
      <alignment horizontal="center" vertical="center" wrapText="1"/>
    </xf>
    <xf numFmtId="0" fontId="333" fillId="0" borderId="0" xfId="24" applyFont="1"/>
    <xf numFmtId="37" fontId="317" fillId="0" borderId="0" xfId="24" applyNumberFormat="1" applyFont="1" applyAlignment="1" applyProtection="1">
      <alignment horizontal="right"/>
      <protection locked="0"/>
    </xf>
    <xf numFmtId="0" fontId="317" fillId="0" borderId="0" xfId="24" applyFont="1" applyAlignment="1" applyProtection="1">
      <alignment horizontal="left" wrapText="1"/>
      <protection locked="0"/>
    </xf>
    <xf numFmtId="170" fontId="317" fillId="0" borderId="0" xfId="24" applyNumberFormat="1" applyFont="1" applyAlignment="1" applyProtection="1">
      <alignment horizontal="right"/>
      <protection locked="0"/>
    </xf>
    <xf numFmtId="39" fontId="317" fillId="0" borderId="0" xfId="24" applyNumberFormat="1" applyFont="1" applyAlignment="1" applyProtection="1">
      <alignment horizontal="right"/>
      <protection locked="0"/>
    </xf>
    <xf numFmtId="37" fontId="317" fillId="0" borderId="125" xfId="28" applyNumberFormat="1" applyFont="1" applyBorder="1" applyAlignment="1">
      <alignment horizontal="right"/>
      <protection locked="0"/>
    </xf>
    <xf numFmtId="0" fontId="317" fillId="0" borderId="125" xfId="28" applyFont="1" applyBorder="1" applyAlignment="1">
      <alignment horizontal="left" wrapText="1"/>
      <protection locked="0"/>
    </xf>
    <xf numFmtId="4" fontId="317" fillId="0" borderId="125" xfId="28" applyNumberFormat="1" applyFont="1" applyBorder="1" applyAlignment="1">
      <alignment horizontal="right"/>
      <protection locked="0"/>
    </xf>
    <xf numFmtId="0" fontId="322" fillId="0" borderId="125" xfId="28" applyFont="1" applyBorder="1" applyAlignment="1">
      <alignment vertical="top"/>
      <protection locked="0"/>
    </xf>
    <xf numFmtId="0" fontId="335" fillId="0" borderId="0" xfId="28" applyFont="1" applyAlignment="1">
      <alignment horizontal="left" vertical="center"/>
      <protection locked="0"/>
    </xf>
    <xf numFmtId="37" fontId="336" fillId="0" borderId="125" xfId="24" applyNumberFormat="1" applyFont="1" applyBorder="1" applyAlignment="1" applyProtection="1">
      <alignment horizontal="right"/>
      <protection locked="0"/>
    </xf>
    <xf numFmtId="49" fontId="315" fillId="0" borderId="125" xfId="24" applyNumberFormat="1" applyFont="1" applyBorder="1" applyAlignment="1" applyProtection="1">
      <alignment horizontal="left" wrapText="1"/>
      <protection locked="0"/>
    </xf>
    <xf numFmtId="0" fontId="315" fillId="0" borderId="125" xfId="24" applyFont="1" applyBorder="1" applyAlignment="1" applyProtection="1">
      <alignment horizontal="left" wrapText="1"/>
      <protection locked="0"/>
    </xf>
    <xf numFmtId="0" fontId="315" fillId="0" borderId="125" xfId="28" applyFont="1" applyBorder="1" applyAlignment="1" applyProtection="1">
      <alignment horizontal="left" wrapText="1"/>
    </xf>
    <xf numFmtId="0" fontId="315" fillId="0" borderId="125" xfId="28" applyFont="1" applyBorder="1" applyAlignment="1" applyProtection="1">
      <alignment horizontal="left" shrinkToFit="1"/>
    </xf>
    <xf numFmtId="4" fontId="315" fillId="0" borderId="125" xfId="28" applyNumberFormat="1" applyFont="1" applyBorder="1" applyAlignment="1" applyProtection="1">
      <alignment shrinkToFit="1"/>
    </xf>
    <xf numFmtId="4" fontId="315" fillId="0" borderId="125" xfId="28" applyNumberFormat="1" applyFont="1" applyBorder="1" applyAlignment="1">
      <alignment horizontal="right"/>
      <protection locked="0"/>
    </xf>
    <xf numFmtId="39" fontId="315" fillId="0" borderId="125" xfId="28" applyNumberFormat="1" applyFont="1" applyBorder="1" applyAlignment="1">
      <alignment horizontal="center"/>
      <protection locked="0"/>
    </xf>
    <xf numFmtId="0" fontId="337" fillId="0" borderId="38" xfId="24" applyFont="1" applyBorder="1" applyAlignment="1">
      <alignment horizontal="left" vertical="center"/>
    </xf>
    <xf numFmtId="37" fontId="315" fillId="0" borderId="125" xfId="73" applyNumberFormat="1" applyFont="1" applyBorder="1" applyAlignment="1">
      <alignment horizontal="right"/>
      <protection locked="0"/>
    </xf>
    <xf numFmtId="0" fontId="315" fillId="0" borderId="125" xfId="24" applyFont="1" applyBorder="1" applyAlignment="1" applyProtection="1">
      <alignment horizontal="left" vertical="center" wrapText="1"/>
      <protection locked="0"/>
    </xf>
    <xf numFmtId="2" fontId="315" fillId="0" borderId="125" xfId="24" applyNumberFormat="1" applyFont="1" applyBorder="1" applyProtection="1">
      <protection locked="0"/>
    </xf>
    <xf numFmtId="39" fontId="315" fillId="0" borderId="125" xfId="24" applyNumberFormat="1" applyFont="1" applyBorder="1" applyAlignment="1" applyProtection="1">
      <alignment horizontal="right"/>
      <protection locked="0"/>
    </xf>
    <xf numFmtId="39" fontId="315" fillId="0" borderId="130" xfId="24" applyNumberFormat="1" applyFont="1" applyBorder="1" applyAlignment="1" applyProtection="1">
      <alignment horizontal="right"/>
      <protection locked="0"/>
    </xf>
    <xf numFmtId="49" fontId="315" fillId="0" borderId="125" xfId="24" applyNumberFormat="1" applyFont="1" applyBorder="1" applyAlignment="1" applyProtection="1">
      <alignment horizontal="right" wrapText="1"/>
      <protection locked="0"/>
    </xf>
    <xf numFmtId="0" fontId="317" fillId="0" borderId="125" xfId="24" applyFont="1" applyBorder="1" applyAlignment="1" applyProtection="1">
      <alignment horizontal="left" wrapText="1"/>
      <protection locked="0"/>
    </xf>
    <xf numFmtId="0" fontId="337" fillId="0" borderId="0" xfId="24" applyFont="1" applyAlignment="1">
      <alignment horizontal="left" vertical="center"/>
    </xf>
    <xf numFmtId="0" fontId="331" fillId="0" borderId="125" xfId="24" applyFont="1" applyBorder="1" applyAlignment="1" applyProtection="1">
      <alignment vertical="top" wrapText="1"/>
      <protection locked="0"/>
    </xf>
    <xf numFmtId="0" fontId="337" fillId="0" borderId="0" xfId="24" applyFont="1" applyAlignment="1">
      <alignment vertical="center"/>
    </xf>
    <xf numFmtId="2" fontId="315" fillId="0" borderId="125" xfId="24" applyNumberFormat="1" applyFont="1" applyBorder="1" applyAlignment="1" applyProtection="1">
      <alignment horizontal="right"/>
      <protection locked="0"/>
    </xf>
    <xf numFmtId="2" fontId="315" fillId="0" borderId="125" xfId="24" applyNumberFormat="1" applyFont="1" applyBorder="1" applyAlignment="1" applyProtection="1">
      <alignment horizontal="center"/>
      <protection locked="0"/>
    </xf>
    <xf numFmtId="0" fontId="331" fillId="0" borderId="0" xfId="24" applyFont="1" applyAlignment="1">
      <alignment vertical="center"/>
    </xf>
    <xf numFmtId="0" fontId="332" fillId="0" borderId="0" xfId="24" applyFont="1" applyAlignment="1">
      <alignment vertical="center"/>
    </xf>
    <xf numFmtId="0" fontId="338" fillId="0" borderId="0" xfId="28" applyFont="1" applyAlignment="1">
      <alignment horizontal="left" vertical="center"/>
      <protection locked="0"/>
    </xf>
    <xf numFmtId="0" fontId="339" fillId="0" borderId="0" xfId="28" applyFont="1" applyAlignment="1">
      <alignment horizontal="right" vertical="center"/>
      <protection locked="0"/>
    </xf>
    <xf numFmtId="0" fontId="340" fillId="0" borderId="0" xfId="28" applyFont="1" applyAlignment="1">
      <alignment horizontal="left" vertical="top"/>
      <protection locked="0"/>
    </xf>
    <xf numFmtId="37" fontId="336" fillId="0" borderId="125" xfId="125" applyNumberFormat="1" applyFont="1" applyBorder="1" applyAlignment="1" applyProtection="1">
      <alignment horizontal="right"/>
      <protection locked="0"/>
    </xf>
    <xf numFmtId="49" fontId="315" fillId="0" borderId="125" xfId="125" applyNumberFormat="1" applyFont="1" applyBorder="1" applyAlignment="1" applyProtection="1">
      <alignment horizontal="left" wrapText="1"/>
      <protection locked="0"/>
    </xf>
    <xf numFmtId="0" fontId="315" fillId="0" borderId="125" xfId="23" applyFont="1" applyBorder="1" applyAlignment="1" applyProtection="1">
      <alignment horizontal="left" wrapText="1"/>
    </xf>
    <xf numFmtId="0" fontId="315" fillId="0" borderId="125" xfId="23" applyFont="1" applyBorder="1" applyAlignment="1" applyProtection="1">
      <alignment horizontal="left" shrinkToFit="1"/>
    </xf>
    <xf numFmtId="4" fontId="315" fillId="0" borderId="125" xfId="23" applyNumberFormat="1" applyFont="1" applyBorder="1" applyAlignment="1" applyProtection="1">
      <alignment shrinkToFit="1"/>
    </xf>
    <xf numFmtId="4" fontId="315" fillId="0" borderId="125" xfId="23" applyNumberFormat="1" applyFont="1" applyBorder="1" applyAlignment="1">
      <alignment horizontal="right"/>
      <protection locked="0"/>
    </xf>
    <xf numFmtId="39" fontId="315" fillId="0" borderId="125" xfId="23" applyNumberFormat="1" applyFont="1" applyBorder="1" applyAlignment="1">
      <alignment horizontal="center"/>
      <protection locked="0"/>
    </xf>
    <xf numFmtId="0" fontId="337" fillId="0" borderId="0" xfId="125" applyFont="1" applyAlignment="1">
      <alignment vertical="center"/>
    </xf>
    <xf numFmtId="0" fontId="315" fillId="0" borderId="125" xfId="125" applyFont="1" applyBorder="1" applyAlignment="1" applyProtection="1">
      <alignment horizontal="left" wrapText="1"/>
      <protection locked="0"/>
    </xf>
    <xf numFmtId="0" fontId="315" fillId="0" borderId="125" xfId="125" applyFont="1" applyBorder="1" applyAlignment="1" applyProtection="1">
      <alignment horizontal="left" vertical="center" wrapText="1"/>
      <protection locked="0"/>
    </xf>
    <xf numFmtId="2" fontId="315" fillId="0" borderId="125" xfId="125" applyNumberFormat="1" applyFont="1" applyBorder="1" applyAlignment="1" applyProtection="1">
      <alignment horizontal="right"/>
      <protection locked="0"/>
    </xf>
    <xf numFmtId="39" fontId="315" fillId="0" borderId="125" xfId="125" applyNumberFormat="1" applyFont="1" applyBorder="1" applyAlignment="1" applyProtection="1">
      <alignment horizontal="right"/>
      <protection locked="0"/>
    </xf>
    <xf numFmtId="2" fontId="315" fillId="0" borderId="125" xfId="125" applyNumberFormat="1" applyFont="1" applyBorder="1" applyAlignment="1" applyProtection="1">
      <alignment horizontal="center"/>
      <protection locked="0"/>
    </xf>
    <xf numFmtId="0" fontId="329" fillId="0" borderId="0" xfId="125" applyFont="1" applyAlignment="1">
      <alignment vertical="center"/>
    </xf>
    <xf numFmtId="0" fontId="331" fillId="0" borderId="0" xfId="125" applyFont="1" applyAlignment="1">
      <alignment vertical="center"/>
    </xf>
    <xf numFmtId="49" fontId="315" fillId="0" borderId="125" xfId="125" applyNumberFormat="1" applyFont="1" applyBorder="1" applyAlignment="1" applyProtection="1">
      <alignment horizontal="right" wrapText="1"/>
      <protection locked="0"/>
    </xf>
    <xf numFmtId="4" fontId="315" fillId="0" borderId="125" xfId="125" applyNumberFormat="1" applyFont="1" applyBorder="1" applyAlignment="1" applyProtection="1">
      <alignment horizontal="right"/>
      <protection locked="0"/>
    </xf>
    <xf numFmtId="0" fontId="331" fillId="0" borderId="125" xfId="125" applyFont="1" applyBorder="1" applyAlignment="1" applyProtection="1">
      <alignment vertical="top" wrapText="1"/>
      <protection locked="0"/>
    </xf>
    <xf numFmtId="0" fontId="341" fillId="0" borderId="0" xfId="24" applyFont="1" applyAlignment="1">
      <alignment vertical="center"/>
    </xf>
    <xf numFmtId="0" fontId="333" fillId="0" borderId="125" xfId="24" applyFont="1" applyBorder="1" applyAlignment="1" applyProtection="1">
      <alignment horizontal="right" vertical="top" wrapText="1"/>
      <protection locked="0"/>
    </xf>
    <xf numFmtId="37" fontId="315" fillId="0" borderId="125" xfId="24" applyNumberFormat="1" applyFont="1" applyBorder="1" applyAlignment="1" applyProtection="1">
      <alignment horizontal="right"/>
      <protection locked="0"/>
    </xf>
    <xf numFmtId="0" fontId="332" fillId="0" borderId="0" xfId="24" applyFont="1" applyAlignment="1" applyProtection="1">
      <alignment vertical="top"/>
      <protection locked="0"/>
    </xf>
    <xf numFmtId="0" fontId="331" fillId="0" borderId="125" xfId="24" applyFont="1" applyBorder="1" applyAlignment="1" applyProtection="1">
      <alignment horizontal="right" vertical="top"/>
      <protection locked="0"/>
    </xf>
    <xf numFmtId="0" fontId="332" fillId="0" borderId="125" xfId="24" applyFont="1" applyBorder="1" applyAlignment="1" applyProtection="1">
      <alignment horizontal="left" vertical="top"/>
      <protection locked="0"/>
    </xf>
    <xf numFmtId="0" fontId="336" fillId="0" borderId="125" xfId="24" applyFont="1" applyBorder="1" applyAlignment="1" applyProtection="1">
      <alignment horizontal="left" wrapText="1"/>
      <protection locked="0"/>
    </xf>
    <xf numFmtId="2" fontId="336" fillId="0" borderId="125" xfId="24" applyNumberFormat="1" applyFont="1" applyBorder="1" applyAlignment="1" applyProtection="1">
      <alignment horizontal="right"/>
      <protection locked="0"/>
    </xf>
    <xf numFmtId="39" fontId="342" fillId="0" borderId="0" xfId="28" applyNumberFormat="1" applyFont="1" applyAlignment="1">
      <alignment horizontal="left" vertical="center"/>
      <protection locked="0"/>
    </xf>
    <xf numFmtId="39" fontId="343" fillId="0" borderId="0" xfId="28" applyNumberFormat="1" applyFont="1" applyAlignment="1">
      <alignment horizontal="right" vertical="center"/>
      <protection locked="0"/>
    </xf>
    <xf numFmtId="0" fontId="342" fillId="0" borderId="0" xfId="28" applyFont="1" applyAlignment="1">
      <alignment horizontal="left" vertical="center"/>
      <protection locked="0"/>
    </xf>
    <xf numFmtId="37" fontId="344" fillId="0" borderId="0" xfId="24" applyNumberFormat="1" applyFont="1" applyAlignment="1" applyProtection="1">
      <alignment horizontal="right"/>
      <protection locked="0"/>
    </xf>
    <xf numFmtId="0" fontId="344" fillId="0" borderId="0" xfId="24" applyFont="1" applyAlignment="1" applyProtection="1">
      <alignment horizontal="left" wrapText="1"/>
      <protection locked="0"/>
    </xf>
    <xf numFmtId="170" fontId="344" fillId="0" borderId="0" xfId="24" applyNumberFormat="1" applyFont="1" applyAlignment="1" applyProtection="1">
      <alignment horizontal="right"/>
      <protection locked="0"/>
    </xf>
    <xf numFmtId="39" fontId="344" fillId="0" borderId="0" xfId="24" applyNumberFormat="1" applyFont="1" applyAlignment="1" applyProtection="1">
      <alignment horizontal="right"/>
      <protection locked="0"/>
    </xf>
    <xf numFmtId="0" fontId="332" fillId="0" borderId="0" xfId="24" applyFont="1"/>
    <xf numFmtId="37" fontId="332" fillId="0" borderId="0" xfId="24" applyNumberFormat="1" applyFont="1" applyAlignment="1" applyProtection="1">
      <alignment horizontal="right" vertical="top"/>
      <protection locked="0"/>
    </xf>
    <xf numFmtId="0" fontId="332" fillId="0" borderId="0" xfId="24" applyFont="1" applyAlignment="1" applyProtection="1">
      <alignment horizontal="left" vertical="top" wrapText="1"/>
      <protection locked="0"/>
    </xf>
    <xf numFmtId="170" fontId="332" fillId="0" borderId="0" xfId="24" applyNumberFormat="1" applyFont="1" applyAlignment="1" applyProtection="1">
      <alignment horizontal="right" vertical="top"/>
      <protection locked="0"/>
    </xf>
    <xf numFmtId="39" fontId="332" fillId="0" borderId="0" xfId="24" applyNumberFormat="1" applyFont="1" applyAlignment="1" applyProtection="1">
      <alignment horizontal="right" vertical="top"/>
      <protection locked="0"/>
    </xf>
    <xf numFmtId="0" fontId="317" fillId="0" borderId="32" xfId="24" applyFont="1" applyBorder="1" applyAlignment="1" applyProtection="1">
      <alignment horizontal="left"/>
      <protection locked="0"/>
    </xf>
    <xf numFmtId="0" fontId="315" fillId="0" borderId="33" xfId="24" applyFont="1" applyBorder="1" applyAlignment="1" applyProtection="1">
      <alignment horizontal="center"/>
      <protection locked="0"/>
    </xf>
    <xf numFmtId="170" fontId="315" fillId="0" borderId="33" xfId="24" applyNumberFormat="1" applyFont="1" applyBorder="1" applyAlignment="1" applyProtection="1">
      <alignment horizontal="right"/>
      <protection locked="0"/>
    </xf>
    <xf numFmtId="39" fontId="315" fillId="0" borderId="33" xfId="24" applyNumberFormat="1" applyFont="1" applyBorder="1" applyAlignment="1" applyProtection="1">
      <alignment horizontal="right"/>
      <protection locked="0"/>
    </xf>
    <xf numFmtId="37" fontId="345" fillId="0" borderId="0" xfId="51" applyNumberFormat="1" applyFont="1" applyFill="1" applyBorder="1" applyAlignment="1" applyProtection="1">
      <alignment horizontal="left" vertical="center"/>
      <protection locked="0"/>
    </xf>
    <xf numFmtId="0" fontId="321" fillId="0" borderId="0" xfId="21" applyFont="1" applyAlignment="1">
      <alignment vertical="center"/>
    </xf>
    <xf numFmtId="49" fontId="321" fillId="0" borderId="0" xfId="21" applyNumberFormat="1" applyFont="1" applyAlignment="1">
      <alignment vertical="center"/>
    </xf>
    <xf numFmtId="39" fontId="315" fillId="0" borderId="0" xfId="24" applyNumberFormat="1" applyFont="1" applyAlignment="1" applyProtection="1">
      <alignment horizontal="center"/>
      <protection locked="0"/>
    </xf>
    <xf numFmtId="37" fontId="330" fillId="0" borderId="0" xfId="24" applyNumberFormat="1" applyFont="1" applyAlignment="1" applyProtection="1">
      <alignment horizontal="left" vertical="center"/>
      <protection locked="0"/>
    </xf>
    <xf numFmtId="39" fontId="315" fillId="0" borderId="0" xfId="24" applyNumberFormat="1" applyFont="1" applyAlignment="1" applyProtection="1">
      <alignment horizontal="right"/>
      <protection locked="0"/>
    </xf>
    <xf numFmtId="0" fontId="345" fillId="0" borderId="0" xfId="51" applyFont="1" applyFill="1" applyBorder="1" applyAlignment="1" applyProtection="1"/>
    <xf numFmtId="0" fontId="321" fillId="0" borderId="0" xfId="21" applyFont="1" applyAlignment="1">
      <alignment horizontal="center" vertical="center" wrapText="1"/>
    </xf>
    <xf numFmtId="0" fontId="332" fillId="0" borderId="0" xfId="24" applyFont="1" applyAlignment="1">
      <alignment horizontal="left" vertical="top"/>
    </xf>
    <xf numFmtId="0" fontId="347" fillId="0" borderId="0" xfId="12" applyFont="1" applyAlignment="1" applyProtection="1">
      <alignment horizontal="left"/>
    </xf>
    <xf numFmtId="0" fontId="20" fillId="0" borderId="15" xfId="8" applyFont="1" applyBorder="1" applyAlignment="1">
      <alignment horizontal="left" wrapText="1"/>
    </xf>
    <xf numFmtId="0" fontId="12" fillId="0" borderId="15" xfId="8" applyBorder="1" applyAlignment="1">
      <alignment wrapText="1"/>
    </xf>
    <xf numFmtId="0" fontId="21" fillId="0" borderId="15" xfId="8" applyFont="1" applyBorder="1" applyAlignment="1">
      <alignment horizontal="left" wrapText="1"/>
    </xf>
    <xf numFmtId="0" fontId="18" fillId="0" borderId="15" xfId="8" applyFont="1" applyBorder="1" applyAlignment="1">
      <alignment wrapText="1"/>
    </xf>
    <xf numFmtId="0" fontId="15" fillId="0" borderId="0" xfId="8" applyFont="1" applyAlignment="1">
      <alignment horizontal="center"/>
    </xf>
    <xf numFmtId="0" fontId="12" fillId="0" borderId="0" xfId="8" applyAlignment="1">
      <alignment horizontal="center"/>
    </xf>
    <xf numFmtId="0" fontId="14" fillId="0" borderId="0" xfId="8" applyFont="1" applyAlignment="1">
      <alignment horizontal="center"/>
    </xf>
    <xf numFmtId="0" fontId="17" fillId="0" borderId="0" xfId="8" applyFont="1" applyAlignment="1">
      <alignment horizontal="left" vertical="center" wrapText="1"/>
    </xf>
    <xf numFmtId="0" fontId="18" fillId="0" borderId="0" xfId="8" applyFont="1" applyAlignment="1">
      <alignment horizontal="left" vertical="center" wrapText="1"/>
    </xf>
    <xf numFmtId="0" fontId="0" fillId="0" borderId="0" xfId="0" applyAlignment="1" applyProtection="1">
      <alignment horizontal="left" vertical="center" wrapText="1"/>
    </xf>
    <xf numFmtId="0" fontId="21" fillId="0" borderId="15" xfId="8" applyFont="1" applyBorder="1" applyAlignment="1">
      <alignment horizontal="left"/>
    </xf>
    <xf numFmtId="0" fontId="18" fillId="0" borderId="15" xfId="8" applyFont="1" applyBorder="1"/>
    <xf numFmtId="0" fontId="14" fillId="0" borderId="0" xfId="8" applyFont="1" applyAlignment="1">
      <alignment horizontal="left" wrapText="1"/>
    </xf>
    <xf numFmtId="3" fontId="21" fillId="0" borderId="65" xfId="8" applyNumberFormat="1" applyFont="1" applyBorder="1" applyAlignment="1">
      <alignment horizontal="center"/>
    </xf>
    <xf numFmtId="3" fontId="21" fillId="0" borderId="66" xfId="8" applyNumberFormat="1" applyFont="1" applyBorder="1" applyAlignment="1">
      <alignment horizontal="center"/>
    </xf>
    <xf numFmtId="3" fontId="21" fillId="0" borderId="67" xfId="8" applyNumberFormat="1" applyFont="1" applyBorder="1" applyAlignment="1">
      <alignment horizontal="center"/>
    </xf>
    <xf numFmtId="0" fontId="21" fillId="0" borderId="129" xfId="8" applyFont="1" applyBorder="1" applyAlignment="1">
      <alignment horizontal="left" wrapText="1"/>
    </xf>
    <xf numFmtId="0" fontId="18" fillId="0" borderId="129" xfId="8" applyFont="1" applyBorder="1" applyAlignment="1">
      <alignment wrapText="1"/>
    </xf>
    <xf numFmtId="0" fontId="11" fillId="0" borderId="0" xfId="8" applyFont="1" applyAlignment="1">
      <alignment horizontal="justify" wrapText="1"/>
    </xf>
    <xf numFmtId="0" fontId="10" fillId="0" borderId="0" xfId="8" applyFont="1" applyAlignment="1">
      <alignment wrapText="1"/>
    </xf>
    <xf numFmtId="0" fontId="10" fillId="0" borderId="0" xfId="8" applyFont="1"/>
    <xf numFmtId="0" fontId="11" fillId="0" borderId="0" xfId="8" applyFont="1" applyAlignment="1">
      <alignment wrapText="1"/>
    </xf>
    <xf numFmtId="0" fontId="12" fillId="0" borderId="0" xfId="8" applyAlignment="1">
      <alignment wrapText="1"/>
    </xf>
    <xf numFmtId="0" fontId="11" fillId="0" borderId="0" xfId="8" applyFont="1" applyAlignment="1">
      <alignment horizontal="left" vertical="center" wrapText="1"/>
    </xf>
    <xf numFmtId="0" fontId="11" fillId="0" borderId="0" xfId="21" applyFont="1" applyAlignment="1">
      <alignment vertical="center" wrapText="1"/>
    </xf>
    <xf numFmtId="0" fontId="13" fillId="0" borderId="0" xfId="3" applyFont="1" applyAlignment="1" applyProtection="1">
      <alignment vertical="center" wrapText="1"/>
      <protection locked="0"/>
    </xf>
    <xf numFmtId="0" fontId="32" fillId="0" borderId="0" xfId="21" applyFont="1" applyAlignment="1">
      <alignment horizontal="left" vertical="center" wrapText="1"/>
    </xf>
    <xf numFmtId="0" fontId="12" fillId="0" borderId="144" xfId="100" applyBorder="1" applyAlignment="1">
      <alignment horizontal="center" vertical="center"/>
    </xf>
    <xf numFmtId="0" fontId="12" fillId="0" borderId="145" xfId="100" applyBorder="1" applyAlignment="1">
      <alignment horizontal="center" vertical="center"/>
    </xf>
    <xf numFmtId="0" fontId="12" fillId="0" borderId="148" xfId="100" applyBorder="1" applyAlignment="1">
      <alignment horizontal="center" vertical="center"/>
    </xf>
    <xf numFmtId="0" fontId="12" fillId="0" borderId="5" xfId="100" applyBorder="1" applyAlignment="1">
      <alignment horizontal="center" vertical="center"/>
    </xf>
    <xf numFmtId="0" fontId="313" fillId="0" borderId="146" xfId="100" applyFont="1" applyBorder="1" applyAlignment="1">
      <alignment vertical="center" wrapText="1"/>
    </xf>
    <xf numFmtId="0" fontId="12" fillId="0" borderId="146" xfId="20" applyBorder="1" applyAlignment="1">
      <alignment vertical="center" wrapText="1"/>
    </xf>
    <xf numFmtId="0" fontId="12" fillId="0" borderId="147" xfId="20" applyBorder="1" applyAlignment="1">
      <alignment vertical="center" wrapText="1"/>
    </xf>
    <xf numFmtId="0" fontId="12" fillId="0" borderId="17" xfId="20" applyBorder="1" applyAlignment="1">
      <alignment vertical="center" wrapText="1"/>
    </xf>
    <xf numFmtId="0" fontId="12" fillId="0" borderId="149" xfId="20" applyBorder="1" applyAlignment="1">
      <alignment vertical="center" wrapText="1"/>
    </xf>
    <xf numFmtId="49" fontId="12" fillId="0" borderId="150" xfId="100" applyNumberFormat="1" applyBorder="1" applyAlignment="1">
      <alignment horizontal="center" vertical="center"/>
    </xf>
    <xf numFmtId="0" fontId="12" fillId="0" borderId="151" xfId="100" applyBorder="1" applyAlignment="1">
      <alignment horizontal="center" vertical="center"/>
    </xf>
    <xf numFmtId="0" fontId="313" fillId="0" borderId="151" xfId="100" applyFont="1" applyBorder="1" applyAlignment="1">
      <alignment vertical="center" wrapText="1"/>
    </xf>
    <xf numFmtId="0" fontId="12" fillId="0" borderId="151" xfId="20" applyBorder="1" applyAlignment="1">
      <alignment vertical="center" wrapText="1"/>
    </xf>
    <xf numFmtId="0" fontId="12" fillId="0" borderId="152" xfId="20" applyBorder="1" applyAlignment="1">
      <alignment vertical="center" wrapText="1"/>
    </xf>
    <xf numFmtId="0" fontId="10" fillId="0" borderId="12" xfId="100" applyFont="1" applyBorder="1" applyAlignment="1">
      <alignment horizontal="center" vertical="center" wrapText="1"/>
    </xf>
    <xf numFmtId="0" fontId="10" fillId="0" borderId="12" xfId="20" applyFont="1" applyBorder="1" applyAlignment="1">
      <alignment vertical="center" wrapText="1"/>
    </xf>
    <xf numFmtId="0" fontId="12" fillId="0" borderId="0" xfId="3" applyAlignment="1" applyProtection="1">
      <alignment vertical="center" wrapText="1"/>
      <protection locked="0"/>
    </xf>
    <xf numFmtId="4" fontId="208" fillId="0" borderId="0" xfId="70" applyNumberFormat="1" applyFont="1" applyAlignment="1">
      <alignment vertical="center"/>
    </xf>
    <xf numFmtId="4" fontId="208" fillId="9" borderId="0" xfId="70" applyNumberFormat="1" applyFont="1" applyFill="1" applyAlignment="1">
      <alignment vertical="center"/>
    </xf>
    <xf numFmtId="0" fontId="211" fillId="0" borderId="0" xfId="70" applyFont="1" applyAlignment="1">
      <alignment horizontal="left" vertical="center" wrapText="1"/>
    </xf>
    <xf numFmtId="4" fontId="212" fillId="13" borderId="0" xfId="70" applyNumberFormat="1" applyFont="1" applyFill="1" applyAlignment="1">
      <alignment vertical="center"/>
    </xf>
    <xf numFmtId="0" fontId="212" fillId="13" borderId="0" xfId="70" applyFont="1" applyFill="1" applyAlignment="1">
      <alignment vertical="center"/>
    </xf>
    <xf numFmtId="4" fontId="212" fillId="0" borderId="0" xfId="70" applyNumberFormat="1" applyFont="1" applyAlignment="1">
      <alignment vertical="center"/>
    </xf>
    <xf numFmtId="0" fontId="212" fillId="0" borderId="0" xfId="70" applyFont="1" applyAlignment="1">
      <alignment vertical="center"/>
    </xf>
    <xf numFmtId="4" fontId="212" fillId="12" borderId="0" xfId="70" applyNumberFormat="1" applyFont="1" applyFill="1" applyAlignment="1">
      <alignment vertical="center"/>
    </xf>
    <xf numFmtId="0" fontId="212" fillId="12" borderId="0" xfId="70" applyFont="1" applyFill="1" applyAlignment="1">
      <alignment vertical="center"/>
    </xf>
    <xf numFmtId="0" fontId="61" fillId="9" borderId="47" xfId="70" applyFont="1" applyFill="1" applyBorder="1" applyAlignment="1">
      <alignment horizontal="center" vertical="center"/>
    </xf>
    <xf numFmtId="0" fontId="61" fillId="9" borderId="48" xfId="70" applyFont="1" applyFill="1" applyBorder="1" applyAlignment="1">
      <alignment horizontal="left" vertical="center"/>
    </xf>
    <xf numFmtId="0" fontId="61" fillId="9" borderId="48" xfId="70" applyFont="1" applyFill="1" applyBorder="1" applyAlignment="1">
      <alignment horizontal="center" vertical="center"/>
    </xf>
    <xf numFmtId="0" fontId="61" fillId="9" borderId="48" xfId="70" applyFont="1" applyFill="1" applyBorder="1" applyAlignment="1">
      <alignment horizontal="right" vertical="center"/>
    </xf>
    <xf numFmtId="0" fontId="61" fillId="9" borderId="49" xfId="70" applyFont="1" applyFill="1" applyBorder="1" applyAlignment="1">
      <alignment horizontal="left" vertical="center"/>
    </xf>
    <xf numFmtId="4" fontId="208" fillId="0" borderId="0" xfId="70" applyNumberFormat="1" applyFont="1" applyAlignment="1">
      <alignment horizontal="right" vertical="center"/>
    </xf>
    <xf numFmtId="0" fontId="205" fillId="0" borderId="52" xfId="70" applyFont="1" applyBorder="1" applyAlignment="1">
      <alignment horizontal="center" vertical="center"/>
    </xf>
    <xf numFmtId="0" fontId="205" fillId="0" borderId="53" xfId="70" applyFont="1" applyBorder="1" applyAlignment="1">
      <alignment horizontal="left" vertical="center"/>
    </xf>
    <xf numFmtId="0" fontId="206" fillId="0" borderId="55" xfId="70" applyFont="1" applyBorder="1" applyAlignment="1">
      <alignment horizontal="left" vertical="center"/>
    </xf>
    <xf numFmtId="0" fontId="206" fillId="0" borderId="0" xfId="70" applyFont="1" applyAlignment="1">
      <alignment horizontal="left" vertical="center"/>
    </xf>
    <xf numFmtId="0" fontId="12" fillId="0" borderId="0" xfId="70" applyFont="1" applyAlignment="1">
      <alignment vertical="center" wrapText="1"/>
    </xf>
    <xf numFmtId="0" fontId="12" fillId="0" borderId="0" xfId="70" applyFont="1" applyAlignment="1">
      <alignment vertical="center"/>
    </xf>
    <xf numFmtId="176" fontId="201" fillId="0" borderId="0" xfId="70" applyNumberFormat="1" applyFont="1" applyAlignment="1">
      <alignment horizontal="left" vertical="center"/>
    </xf>
    <xf numFmtId="0" fontId="201" fillId="0" borderId="0" xfId="70" applyFont="1" applyAlignment="1">
      <alignment vertical="center"/>
    </xf>
    <xf numFmtId="4" fontId="203" fillId="0" borderId="0" xfId="70" applyNumberFormat="1" applyFont="1" applyAlignment="1">
      <alignment vertical="center"/>
    </xf>
    <xf numFmtId="0" fontId="174" fillId="8" borderId="48" xfId="70" applyFont="1" applyFill="1" applyBorder="1" applyAlignment="1">
      <alignment horizontal="left" vertical="center"/>
    </xf>
    <xf numFmtId="0" fontId="197" fillId="8" borderId="48" xfId="70" applyFill="1" applyBorder="1" applyAlignment="1">
      <alignment vertical="center"/>
    </xf>
    <xf numFmtId="4" fontId="174" fillId="8" borderId="48" xfId="70" applyNumberFormat="1" applyFont="1" applyFill="1" applyBorder="1" applyAlignment="1">
      <alignment vertical="center"/>
    </xf>
    <xf numFmtId="0" fontId="197" fillId="8" borderId="49" xfId="70" applyFill="1" applyBorder="1" applyAlignment="1">
      <alignment vertical="center"/>
    </xf>
    <xf numFmtId="0" fontId="146" fillId="0" borderId="0" xfId="70" applyFont="1" applyAlignment="1">
      <alignment horizontal="left" vertical="center" wrapText="1"/>
    </xf>
    <xf numFmtId="0" fontId="146" fillId="0" borderId="0" xfId="70" applyFont="1" applyAlignment="1">
      <alignment vertical="center"/>
    </xf>
    <xf numFmtId="177" fontId="12" fillId="0" borderId="0" xfId="70" applyNumberFormat="1" applyFont="1" applyAlignment="1">
      <alignment horizontal="left" vertical="center"/>
    </xf>
    <xf numFmtId="4" fontId="18" fillId="0" borderId="46" xfId="70" applyNumberFormat="1" applyFont="1" applyBorder="1" applyAlignment="1">
      <alignment vertical="center"/>
    </xf>
    <xf numFmtId="0" fontId="197" fillId="0" borderId="46" xfId="70" applyBorder="1" applyAlignment="1">
      <alignment vertical="center"/>
    </xf>
    <xf numFmtId="0" fontId="201" fillId="0" borderId="0" xfId="70" applyFont="1" applyAlignment="1">
      <alignment horizontal="right" vertical="center"/>
    </xf>
    <xf numFmtId="4" fontId="12" fillId="0" borderId="0" xfId="70" applyNumberFormat="1" applyFont="1" applyAlignment="1">
      <alignment vertical="center"/>
    </xf>
    <xf numFmtId="0" fontId="200" fillId="15" borderId="0" xfId="70" applyFont="1" applyFill="1" applyAlignment="1">
      <alignment horizontal="center" vertical="center"/>
    </xf>
    <xf numFmtId="0" fontId="197" fillId="0" borderId="0" xfId="70"/>
    <xf numFmtId="0" fontId="12" fillId="0" borderId="0" xfId="70" applyFont="1" applyAlignment="1">
      <alignment horizontal="left" vertical="center"/>
    </xf>
    <xf numFmtId="0" fontId="146" fillId="0" borderId="0" xfId="70" applyFont="1" applyAlignment="1">
      <alignment horizontal="left" vertical="top" wrapText="1"/>
    </xf>
    <xf numFmtId="0" fontId="12" fillId="0" borderId="0" xfId="70" applyFont="1" applyAlignment="1">
      <alignment horizontal="left" vertical="center" wrapText="1"/>
    </xf>
    <xf numFmtId="4" fontId="318" fillId="0" borderId="57" xfId="70" applyNumberFormat="1" applyFont="1" applyBorder="1" applyAlignment="1" applyProtection="1">
      <alignment horizontal="center" vertical="center"/>
      <protection locked="0"/>
    </xf>
    <xf numFmtId="4" fontId="318" fillId="0" borderId="59" xfId="70" applyNumberFormat="1" applyFont="1" applyBorder="1" applyAlignment="1" applyProtection="1">
      <alignment horizontal="center" vertical="center"/>
      <protection locked="0"/>
    </xf>
    <xf numFmtId="4" fontId="316" fillId="0" borderId="57" xfId="70" applyNumberFormat="1" applyFont="1" applyBorder="1" applyAlignment="1" applyProtection="1">
      <alignment horizontal="center" vertical="center"/>
      <protection locked="0"/>
    </xf>
    <xf numFmtId="4" fontId="316" fillId="0" borderId="59" xfId="70" applyNumberFormat="1" applyFont="1" applyBorder="1" applyAlignment="1" applyProtection="1">
      <alignment horizontal="center" vertical="center"/>
      <protection locked="0"/>
    </xf>
    <xf numFmtId="0" fontId="201" fillId="0" borderId="0" xfId="70" applyFont="1" applyAlignment="1">
      <alignment horizontal="left" vertical="center" wrapText="1"/>
    </xf>
    <xf numFmtId="0" fontId="201" fillId="0" borderId="0" xfId="70" applyFont="1" applyAlignment="1">
      <alignment horizontal="left" vertical="center"/>
    </xf>
    <xf numFmtId="0" fontId="197" fillId="0" borderId="0" xfId="70" applyAlignment="1">
      <alignment vertical="center"/>
    </xf>
    <xf numFmtId="0" fontId="217" fillId="0" borderId="0" xfId="70" applyFont="1" applyAlignment="1" applyProtection="1">
      <alignment horizontal="left" vertical="center"/>
      <protection locked="0"/>
    </xf>
    <xf numFmtId="37" fontId="317" fillId="0" borderId="32" xfId="24" applyNumberFormat="1" applyFont="1" applyBorder="1" applyAlignment="1" applyProtection="1">
      <alignment horizontal="center"/>
      <protection locked="0"/>
    </xf>
    <xf numFmtId="37" fontId="317" fillId="0" borderId="33" xfId="24" applyNumberFormat="1" applyFont="1" applyBorder="1" applyAlignment="1" applyProtection="1">
      <alignment horizontal="center"/>
      <protection locked="0"/>
    </xf>
    <xf numFmtId="37" fontId="317" fillId="0" borderId="34" xfId="24" applyNumberFormat="1" applyFont="1" applyBorder="1" applyAlignment="1" applyProtection="1">
      <alignment horizontal="center"/>
      <protection locked="0"/>
    </xf>
    <xf numFmtId="0" fontId="317" fillId="0" borderId="0" xfId="26" applyFont="1" applyAlignment="1">
      <alignment horizontal="left" wrapText="1"/>
    </xf>
    <xf numFmtId="0" fontId="329" fillId="0" borderId="0" xfId="125" applyFont="1" applyAlignment="1">
      <alignment horizontal="left" wrapText="1"/>
    </xf>
    <xf numFmtId="0" fontId="14" fillId="0" borderId="0" xfId="24" applyFont="1" applyAlignment="1">
      <alignment horizontal="left" vertical="center" wrapText="1"/>
    </xf>
    <xf numFmtId="0" fontId="14" fillId="0" borderId="0" xfId="24" applyFont="1" applyAlignment="1">
      <alignment horizontal="left" vertical="top" wrapText="1"/>
    </xf>
    <xf numFmtId="0" fontId="321" fillId="0" borderId="0" xfId="21" applyFont="1" applyAlignment="1">
      <alignment vertical="center" wrapText="1"/>
    </xf>
    <xf numFmtId="0" fontId="332" fillId="0" borderId="0" xfId="24" applyFont="1" applyAlignment="1" applyProtection="1">
      <alignment vertical="center" wrapText="1"/>
      <protection locked="0"/>
    </xf>
    <xf numFmtId="0" fontId="322" fillId="0" borderId="0" xfId="28" applyFont="1" applyAlignment="1">
      <alignment vertical="center" wrapText="1"/>
      <protection locked="0"/>
    </xf>
    <xf numFmtId="0" fontId="322" fillId="0" borderId="0" xfId="24" applyFont="1" applyAlignment="1" applyProtection="1">
      <alignment vertical="center" wrapText="1"/>
      <protection locked="0"/>
    </xf>
    <xf numFmtId="0" fontId="346" fillId="0" borderId="0" xfId="21" applyFont="1" applyAlignment="1">
      <alignment horizontal="left" vertical="center" wrapText="1"/>
    </xf>
    <xf numFmtId="0" fontId="39" fillId="0" borderId="0" xfId="26" applyFont="1" applyAlignment="1">
      <alignment horizontal="left" wrapText="1"/>
    </xf>
    <xf numFmtId="0" fontId="9" fillId="0" borderId="0" xfId="25" applyAlignment="1">
      <alignment horizontal="left" wrapText="1"/>
    </xf>
    <xf numFmtId="37" fontId="39" fillId="0" borderId="32" xfId="25" applyNumberFormat="1" applyFont="1" applyBorder="1" applyAlignment="1">
      <alignment horizontal="center"/>
    </xf>
    <xf numFmtId="37" fontId="39" fillId="0" borderId="33" xfId="25" applyNumberFormat="1" applyFont="1" applyBorder="1" applyAlignment="1">
      <alignment horizontal="center"/>
    </xf>
    <xf numFmtId="37" fontId="39" fillId="0" borderId="34" xfId="25" applyNumberFormat="1" applyFont="1" applyBorder="1" applyAlignment="1">
      <alignment horizontal="center"/>
    </xf>
    <xf numFmtId="0" fontId="9" fillId="0" borderId="0" xfId="71" applyAlignment="1">
      <alignment horizontal="left" wrapText="1"/>
    </xf>
    <xf numFmtId="37" fontId="39" fillId="0" borderId="32" xfId="71" applyNumberFormat="1" applyFont="1" applyBorder="1" applyAlignment="1">
      <alignment horizontal="center"/>
    </xf>
    <xf numFmtId="37" fontId="39" fillId="0" borderId="33" xfId="71" applyNumberFormat="1" applyFont="1" applyBorder="1" applyAlignment="1">
      <alignment horizontal="center"/>
    </xf>
    <xf numFmtId="37" fontId="39" fillId="0" borderId="34" xfId="71" applyNumberFormat="1" applyFont="1" applyBorder="1" applyAlignment="1">
      <alignment horizontal="center"/>
    </xf>
    <xf numFmtId="37" fontId="39" fillId="0" borderId="32" xfId="0" applyNumberFormat="1" applyFont="1" applyBorder="1" applyAlignment="1" applyProtection="1">
      <alignment horizontal="center"/>
    </xf>
    <xf numFmtId="37" fontId="39" fillId="0" borderId="33" xfId="0" applyNumberFormat="1" applyFont="1" applyBorder="1" applyAlignment="1" applyProtection="1">
      <alignment horizontal="center"/>
    </xf>
    <xf numFmtId="37" fontId="39" fillId="0" borderId="34" xfId="0" applyNumberFormat="1" applyFont="1" applyBorder="1" applyAlignment="1" applyProtection="1">
      <alignment horizontal="center"/>
    </xf>
    <xf numFmtId="0" fontId="13" fillId="0" borderId="0" xfId="0" applyFont="1" applyAlignment="1">
      <alignment vertical="center" wrapText="1"/>
      <protection locked="0"/>
    </xf>
    <xf numFmtId="0" fontId="0" fillId="0" borderId="0" xfId="0" applyAlignment="1" applyProtection="1">
      <alignment horizontal="left" wrapText="1"/>
    </xf>
    <xf numFmtId="0" fontId="229" fillId="0" borderId="0" xfId="0" applyFont="1" applyAlignment="1">
      <alignment horizontal="left" vertical="center" wrapText="1"/>
      <protection locked="0"/>
    </xf>
    <xf numFmtId="4" fontId="318" fillId="0" borderId="130" xfId="70" applyNumberFormat="1" applyFont="1" applyBorder="1" applyAlignment="1" applyProtection="1">
      <alignment horizontal="center" vertical="center"/>
      <protection locked="0"/>
    </xf>
    <xf numFmtId="4" fontId="318" fillId="0" borderId="156" xfId="70" applyNumberFormat="1" applyFont="1" applyBorder="1" applyAlignment="1" applyProtection="1">
      <alignment horizontal="center" vertical="center"/>
      <protection locked="0"/>
    </xf>
    <xf numFmtId="4" fontId="318" fillId="0" borderId="137" xfId="70" applyNumberFormat="1" applyFont="1" applyBorder="1" applyAlignment="1" applyProtection="1">
      <alignment horizontal="center" vertical="center"/>
      <protection locked="0"/>
    </xf>
    <xf numFmtId="0" fontId="292" fillId="0" borderId="0" xfId="71" applyFont="1" applyAlignment="1">
      <alignment horizontal="center"/>
    </xf>
    <xf numFmtId="0" fontId="39" fillId="0" borderId="0" xfId="27" applyFont="1" applyAlignment="1" applyProtection="1">
      <alignment horizontal="left" wrapText="1"/>
    </xf>
    <xf numFmtId="0" fontId="9" fillId="0" borderId="0" xfId="89" applyAlignment="1">
      <alignment horizontal="left" wrapText="1"/>
    </xf>
    <xf numFmtId="37" fontId="39" fillId="0" borderId="32" xfId="0" applyNumberFormat="1" applyFont="1" applyBorder="1" applyAlignment="1">
      <alignment horizontal="center"/>
      <protection locked="0"/>
    </xf>
    <xf numFmtId="37" fontId="39" fillId="0" borderId="33" xfId="0" applyNumberFormat="1" applyFont="1" applyBorder="1" applyAlignment="1">
      <alignment horizontal="center"/>
      <protection locked="0"/>
    </xf>
    <xf numFmtId="37" fontId="39" fillId="0" borderId="34" xfId="0" applyNumberFormat="1" applyFont="1" applyBorder="1" applyAlignment="1">
      <alignment horizontal="center"/>
      <protection locked="0"/>
    </xf>
    <xf numFmtId="4" fontId="87" fillId="0" borderId="127" xfId="80" applyNumberFormat="1" applyFont="1" applyBorder="1" applyAlignment="1">
      <alignment horizontal="center"/>
      <protection locked="0"/>
    </xf>
    <xf numFmtId="4" fontId="87" fillId="0" borderId="139" xfId="80" applyNumberFormat="1" applyFont="1" applyBorder="1" applyAlignment="1">
      <alignment horizontal="center"/>
      <protection locked="0"/>
    </xf>
    <xf numFmtId="4" fontId="315" fillId="0" borderId="127" xfId="90" applyNumberFormat="1" applyFont="1" applyBorder="1" applyAlignment="1" applyProtection="1">
      <alignment horizontal="center"/>
      <protection locked="0"/>
    </xf>
    <xf numFmtId="4" fontId="315" fillId="0" borderId="139" xfId="90" applyNumberFormat="1" applyFont="1" applyBorder="1" applyAlignment="1" applyProtection="1">
      <alignment horizontal="center"/>
      <protection locked="0"/>
    </xf>
    <xf numFmtId="0" fontId="39" fillId="0" borderId="0" xfId="28" applyFont="1" applyAlignment="1" applyProtection="1">
      <alignment horizontal="left" wrapText="1"/>
    </xf>
    <xf numFmtId="0" fontId="11" fillId="0" borderId="0" xfId="16" applyFont="1" applyAlignment="1">
      <alignment vertical="center" wrapText="1"/>
    </xf>
    <xf numFmtId="0" fontId="9" fillId="0" borderId="0" xfId="65" applyAlignment="1">
      <alignment horizontal="left" wrapText="1"/>
    </xf>
    <xf numFmtId="0" fontId="9" fillId="0" borderId="0" xfId="66" applyAlignment="1" applyProtection="1">
      <alignment horizontal="left" wrapText="1"/>
      <protection locked="0"/>
    </xf>
    <xf numFmtId="37" fontId="39" fillId="0" borderId="32" xfId="65" applyNumberFormat="1" applyFont="1" applyBorder="1" applyAlignment="1">
      <alignment horizontal="center"/>
    </xf>
    <xf numFmtId="37" fontId="39" fillId="0" borderId="33" xfId="65" applyNumberFormat="1" applyFont="1" applyBorder="1" applyAlignment="1">
      <alignment horizontal="center"/>
    </xf>
    <xf numFmtId="37" fontId="39" fillId="0" borderId="34" xfId="65" applyNumberFormat="1" applyFont="1" applyBorder="1" applyAlignment="1">
      <alignment horizontal="center"/>
    </xf>
    <xf numFmtId="39" fontId="10" fillId="0" borderId="125" xfId="64" applyNumberFormat="1" applyFont="1" applyBorder="1" applyAlignment="1" applyProtection="1">
      <alignment horizontal="center" wrapText="1"/>
      <protection locked="0"/>
    </xf>
    <xf numFmtId="0" fontId="136" fillId="0" borderId="0" xfId="46" applyFont="1" applyAlignment="1">
      <alignment horizontal="left"/>
      <protection locked="0"/>
    </xf>
    <xf numFmtId="4" fontId="74" fillId="0" borderId="35" xfId="0" applyNumberFormat="1" applyFont="1" applyBorder="1" applyAlignment="1">
      <alignment horizontal="center"/>
      <protection locked="0"/>
    </xf>
    <xf numFmtId="4" fontId="74" fillId="0" borderId="36" xfId="0" applyNumberFormat="1" applyFont="1" applyBorder="1" applyAlignment="1">
      <alignment horizontal="center"/>
      <protection locked="0"/>
    </xf>
    <xf numFmtId="0" fontId="13" fillId="0" borderId="0" xfId="45" applyFont="1" applyAlignment="1">
      <alignment vertical="center" wrapText="1"/>
      <protection locked="0"/>
    </xf>
    <xf numFmtId="37" fontId="39" fillId="0" borderId="32" xfId="45" applyNumberFormat="1" applyFont="1" applyBorder="1" applyAlignment="1">
      <alignment horizontal="center"/>
      <protection locked="0"/>
    </xf>
    <xf numFmtId="0" fontId="104" fillId="0" borderId="33" xfId="45" applyFont="1" applyBorder="1" applyAlignment="1">
      <alignment horizontal="center"/>
      <protection locked="0"/>
    </xf>
    <xf numFmtId="0" fontId="104" fillId="0" borderId="34" xfId="45" applyFont="1" applyBorder="1" applyAlignment="1">
      <alignment horizontal="center"/>
      <protection locked="0"/>
    </xf>
    <xf numFmtId="0" fontId="33" fillId="0" borderId="0" xfId="45" applyAlignment="1">
      <alignment vertical="center" wrapText="1"/>
      <protection locked="0"/>
    </xf>
    <xf numFmtId="0" fontId="13" fillId="0" borderId="0" xfId="28" applyAlignment="1">
      <alignment vertical="center" wrapText="1"/>
      <protection locked="0"/>
    </xf>
    <xf numFmtId="0" fontId="8" fillId="0" borderId="0" xfId="94" applyAlignment="1">
      <alignment horizontal="left" wrapText="1"/>
    </xf>
    <xf numFmtId="4" fontId="74" fillId="0" borderId="130" xfId="40" applyNumberFormat="1" applyFont="1" applyBorder="1" applyAlignment="1">
      <alignment horizontal="center"/>
      <protection locked="0"/>
    </xf>
    <xf numFmtId="4" fontId="74" fillId="0" borderId="137" xfId="40" applyNumberFormat="1" applyFont="1" applyBorder="1" applyAlignment="1">
      <alignment horizontal="center"/>
      <protection locked="0"/>
    </xf>
    <xf numFmtId="4" fontId="315" fillId="0" borderId="127" xfId="31" applyNumberFormat="1" applyFont="1" applyBorder="1" applyAlignment="1" applyProtection="1">
      <alignment horizontal="center"/>
      <protection locked="0"/>
    </xf>
    <xf numFmtId="4" fontId="315" fillId="0" borderId="139" xfId="31" applyNumberFormat="1" applyFont="1" applyBorder="1" applyAlignment="1" applyProtection="1">
      <alignment horizontal="center"/>
      <protection locked="0"/>
    </xf>
    <xf numFmtId="0" fontId="167" fillId="0" borderId="138" xfId="53" applyFont="1" applyBorder="1" applyAlignment="1" applyProtection="1">
      <alignment horizontal="left" vertical="top" wrapText="1"/>
      <protection locked="0"/>
    </xf>
    <xf numFmtId="0" fontId="167" fillId="0" borderId="0" xfId="53" applyFont="1" applyAlignment="1" applyProtection="1">
      <alignment horizontal="left" vertical="top" wrapText="1"/>
      <protection locked="0"/>
    </xf>
    <xf numFmtId="0" fontId="13" fillId="0" borderId="0" xfId="55" applyFont="1" applyAlignment="1" applyProtection="1">
      <alignment vertical="center" wrapText="1"/>
      <protection locked="0"/>
    </xf>
    <xf numFmtId="0" fontId="40" fillId="0" borderId="0" xfId="55" applyAlignment="1" applyProtection="1">
      <alignment horizontal="left" wrapText="1"/>
      <protection locked="0"/>
    </xf>
    <xf numFmtId="37" fontId="39" fillId="0" borderId="32" xfId="55" applyNumberFormat="1" applyFont="1" applyBorder="1" applyAlignment="1" applyProtection="1">
      <alignment horizontal="center"/>
      <protection locked="0"/>
    </xf>
    <xf numFmtId="37" fontId="39" fillId="0" borderId="33" xfId="55" applyNumberFormat="1" applyFont="1" applyBorder="1" applyAlignment="1" applyProtection="1">
      <alignment horizontal="center"/>
      <protection locked="0"/>
    </xf>
    <xf numFmtId="37" fontId="39" fillId="0" borderId="34" xfId="55" applyNumberFormat="1" applyFont="1" applyBorder="1" applyAlignment="1" applyProtection="1">
      <alignment horizontal="center"/>
      <protection locked="0"/>
    </xf>
    <xf numFmtId="0" fontId="40" fillId="0" borderId="0" xfId="55" applyAlignment="1" applyProtection="1">
      <alignment vertical="center" wrapText="1"/>
      <protection locked="0"/>
    </xf>
    <xf numFmtId="0" fontId="40" fillId="0" borderId="0" xfId="24" applyAlignment="1">
      <alignment horizontal="left" wrapText="1"/>
    </xf>
    <xf numFmtId="0" fontId="9" fillId="0" borderId="0" xfId="25" applyAlignment="1" applyProtection="1">
      <alignment horizontal="left" wrapText="1"/>
      <protection locked="0"/>
    </xf>
    <xf numFmtId="0" fontId="40" fillId="0" borderId="0" xfId="24" applyAlignment="1" applyProtection="1">
      <alignment horizontal="left" wrapText="1"/>
      <protection locked="0"/>
    </xf>
    <xf numFmtId="37" fontId="39" fillId="0" borderId="32" xfId="52" applyNumberFormat="1" applyFont="1" applyBorder="1" applyAlignment="1">
      <alignment horizontal="center"/>
    </xf>
    <xf numFmtId="37" fontId="39" fillId="0" borderId="33" xfId="52" applyNumberFormat="1" applyFont="1" applyBorder="1" applyAlignment="1">
      <alignment horizontal="center"/>
    </xf>
    <xf numFmtId="37" fontId="39" fillId="0" borderId="34" xfId="52" applyNumberFormat="1" applyFont="1" applyBorder="1" applyAlignment="1">
      <alignment horizontal="center"/>
    </xf>
    <xf numFmtId="0" fontId="13" fillId="0" borderId="0" xfId="24" applyFont="1" applyAlignment="1" applyProtection="1">
      <alignment vertical="center" wrapText="1"/>
      <protection locked="0"/>
    </xf>
    <xf numFmtId="37" fontId="39" fillId="0" borderId="32" xfId="24" applyNumberFormat="1" applyFont="1" applyBorder="1" applyAlignment="1" applyProtection="1">
      <alignment horizontal="center"/>
      <protection locked="0"/>
    </xf>
    <xf numFmtId="37" fontId="39" fillId="0" borderId="33" xfId="24" applyNumberFormat="1" applyFont="1" applyBorder="1" applyAlignment="1" applyProtection="1">
      <alignment horizontal="center"/>
      <protection locked="0"/>
    </xf>
    <xf numFmtId="37" fontId="39" fillId="0" borderId="34" xfId="24" applyNumberFormat="1" applyFont="1" applyBorder="1" applyAlignment="1" applyProtection="1">
      <alignment horizontal="center"/>
      <protection locked="0"/>
    </xf>
    <xf numFmtId="0" fontId="40" fillId="0" borderId="0" xfId="24" applyAlignment="1" applyProtection="1">
      <alignment vertical="center" wrapText="1"/>
      <protection locked="0"/>
    </xf>
    <xf numFmtId="37" fontId="39" fillId="0" borderId="32" xfId="3" applyNumberFormat="1" applyFont="1" applyBorder="1" applyAlignment="1">
      <alignment horizontal="center"/>
    </xf>
    <xf numFmtId="37" fontId="39" fillId="0" borderId="33" xfId="3" applyNumberFormat="1" applyFont="1" applyBorder="1" applyAlignment="1">
      <alignment horizontal="center"/>
    </xf>
    <xf numFmtId="37" fontId="39" fillId="0" borderId="34" xfId="3" applyNumberFormat="1" applyFont="1" applyBorder="1" applyAlignment="1">
      <alignment horizontal="center"/>
    </xf>
    <xf numFmtId="0" fontId="39" fillId="0" borderId="0" xfId="23" applyFont="1" applyAlignment="1" applyProtection="1">
      <alignment horizontal="left" wrapText="1"/>
    </xf>
    <xf numFmtId="0" fontId="9" fillId="0" borderId="0" xfId="29" applyAlignment="1">
      <alignment horizontal="left" wrapText="1"/>
    </xf>
    <xf numFmtId="0" fontId="12" fillId="0" borderId="0" xfId="3" applyAlignment="1" applyProtection="1">
      <alignment horizontal="left" wrapText="1"/>
      <protection locked="0"/>
    </xf>
    <xf numFmtId="37" fontId="39" fillId="0" borderId="32" xfId="29" applyNumberFormat="1" applyFont="1" applyBorder="1" applyAlignment="1">
      <alignment horizontal="center"/>
    </xf>
    <xf numFmtId="37" fontId="39" fillId="0" borderId="33" xfId="29" applyNumberFormat="1" applyFont="1" applyBorder="1" applyAlignment="1">
      <alignment horizontal="center"/>
    </xf>
    <xf numFmtId="37" fontId="39" fillId="0" borderId="34" xfId="29" applyNumberFormat="1" applyFont="1" applyBorder="1" applyAlignment="1">
      <alignment horizontal="center"/>
    </xf>
    <xf numFmtId="4" fontId="319" fillId="0" borderId="130" xfId="31" applyNumberFormat="1" applyFont="1" applyBorder="1" applyAlignment="1" applyProtection="1">
      <alignment horizontal="center"/>
      <protection locked="0"/>
    </xf>
    <xf numFmtId="4" fontId="319" fillId="0" borderId="137" xfId="31" applyNumberFormat="1" applyFont="1" applyBorder="1" applyAlignment="1" applyProtection="1">
      <alignment horizontal="center"/>
      <protection locked="0"/>
    </xf>
    <xf numFmtId="39" fontId="10" fillId="0" borderId="35" xfId="3" applyNumberFormat="1" applyFont="1" applyBorder="1" applyAlignment="1" applyProtection="1">
      <alignment horizontal="center" wrapText="1"/>
      <protection locked="0"/>
    </xf>
    <xf numFmtId="39" fontId="10" fillId="0" borderId="36" xfId="3" applyNumberFormat="1" applyFont="1" applyBorder="1" applyAlignment="1" applyProtection="1">
      <alignment horizontal="center" wrapText="1"/>
      <protection locked="0"/>
    </xf>
    <xf numFmtId="167" fontId="30" fillId="0" borderId="35" xfId="3" applyNumberFormat="1" applyFont="1" applyBorder="1" applyAlignment="1" applyProtection="1">
      <alignment horizontal="center" wrapText="1"/>
      <protection locked="0"/>
    </xf>
    <xf numFmtId="167" fontId="30" fillId="0" borderId="37" xfId="3" applyNumberFormat="1" applyFont="1" applyBorder="1" applyAlignment="1" applyProtection="1">
      <alignment horizontal="center" wrapText="1"/>
      <protection locked="0"/>
    </xf>
    <xf numFmtId="167" fontId="30" fillId="0" borderId="36" xfId="3" applyNumberFormat="1" applyFont="1" applyBorder="1" applyAlignment="1" applyProtection="1">
      <alignment horizontal="center" wrapText="1"/>
      <protection locked="0"/>
    </xf>
    <xf numFmtId="0" fontId="35" fillId="0" borderId="0" xfId="22" applyFont="1" applyAlignment="1">
      <alignment vertical="top" wrapText="1"/>
    </xf>
    <xf numFmtId="0" fontId="15" fillId="6" borderId="1" xfId="22" applyFont="1" applyFill="1" applyBorder="1" applyAlignment="1">
      <alignment horizontal="center" vertical="center" wrapText="1"/>
    </xf>
    <xf numFmtId="0" fontId="15" fillId="6" borderId="2" xfId="22" applyFont="1" applyFill="1" applyBorder="1" applyAlignment="1">
      <alignment horizontal="center" vertical="center" wrapText="1"/>
    </xf>
    <xf numFmtId="0" fontId="15" fillId="6" borderId="3" xfId="22" applyFont="1" applyFill="1" applyBorder="1" applyAlignment="1">
      <alignment horizontal="center" vertical="center" wrapText="1"/>
    </xf>
    <xf numFmtId="0" fontId="16" fillId="0" borderId="1" xfId="22" applyFont="1" applyBorder="1" applyAlignment="1">
      <alignment horizontal="left" vertical="center" wrapText="1"/>
    </xf>
    <xf numFmtId="0" fontId="16" fillId="0" borderId="2" xfId="22" applyFont="1" applyBorder="1" applyAlignment="1">
      <alignment horizontal="left" vertical="center" wrapText="1"/>
    </xf>
    <xf numFmtId="0" fontId="16" fillId="0" borderId="3" xfId="22" applyFont="1" applyBorder="1" applyAlignment="1">
      <alignment horizontal="left" vertical="center" wrapText="1"/>
    </xf>
    <xf numFmtId="0" fontId="16" fillId="0" borderId="12" xfId="22" applyFont="1" applyBorder="1" applyAlignment="1">
      <alignment horizontal="center" vertical="center" wrapText="1"/>
    </xf>
    <xf numFmtId="165" fontId="16" fillId="12" borderId="18" xfId="22" applyNumberFormat="1" applyFont="1" applyFill="1" applyBorder="1" applyAlignment="1">
      <alignment horizontal="center" vertical="center"/>
    </xf>
    <xf numFmtId="165" fontId="16" fillId="12" borderId="17" xfId="22" applyNumberFormat="1" applyFont="1" applyFill="1" applyBorder="1" applyAlignment="1">
      <alignment horizontal="center" vertical="center"/>
    </xf>
    <xf numFmtId="0" fontId="14" fillId="0" borderId="18" xfId="22" applyBorder="1" applyAlignment="1">
      <alignment horizontal="center" vertical="center" wrapText="1"/>
    </xf>
    <xf numFmtId="0" fontId="14" fillId="0" borderId="17" xfId="22" applyBorder="1" applyAlignment="1">
      <alignment horizontal="center" vertical="center" wrapText="1"/>
    </xf>
    <xf numFmtId="0" fontId="14" fillId="0" borderId="19" xfId="22" applyBorder="1" applyAlignment="1">
      <alignment horizontal="center" vertical="center" wrapText="1"/>
    </xf>
    <xf numFmtId="0" fontId="16" fillId="0" borderId="8" xfId="22" applyFont="1" applyBorder="1" applyAlignment="1">
      <alignment horizontal="center" vertical="center" wrapText="1"/>
    </xf>
    <xf numFmtId="0" fontId="16" fillId="0" borderId="5" xfId="22" applyFont="1" applyBorder="1" applyAlignment="1">
      <alignment horizontal="center" vertical="center" wrapText="1"/>
    </xf>
    <xf numFmtId="0" fontId="16" fillId="0" borderId="20" xfId="22" applyFont="1" applyBorder="1" applyAlignment="1">
      <alignment horizontal="center" vertical="center" wrapText="1"/>
    </xf>
    <xf numFmtId="165" fontId="16" fillId="12" borderId="19" xfId="22" applyNumberFormat="1" applyFont="1" applyFill="1" applyBorder="1" applyAlignment="1">
      <alignment horizontal="center" vertical="center"/>
    </xf>
    <xf numFmtId="0" fontId="348" fillId="0" borderId="15" xfId="8" applyFont="1" applyBorder="1" applyAlignment="1">
      <alignment horizontal="left" wrapText="1"/>
    </xf>
    <xf numFmtId="0" fontId="349" fillId="0" borderId="15" xfId="8" applyFont="1" applyBorder="1" applyAlignment="1">
      <alignment wrapText="1"/>
    </xf>
    <xf numFmtId="0" fontId="334" fillId="12" borderId="31" xfId="49" applyFont="1" applyFill="1" applyBorder="1" applyAlignment="1">
      <alignment horizontal="center" vertical="center" wrapText="1"/>
    </xf>
    <xf numFmtId="0" fontId="334" fillId="12" borderId="32" xfId="71" applyFont="1" applyFill="1" applyBorder="1" applyAlignment="1">
      <alignment horizontal="center" vertical="center" wrapText="1"/>
    </xf>
    <xf numFmtId="39" fontId="317" fillId="12" borderId="0" xfId="24" applyNumberFormat="1" applyFont="1" applyFill="1" applyAlignment="1" applyProtection="1">
      <alignment horizontal="right"/>
      <protection locked="0"/>
    </xf>
    <xf numFmtId="4" fontId="317" fillId="12" borderId="125" xfId="28" applyNumberFormat="1" applyFont="1" applyFill="1" applyBorder="1" applyAlignment="1">
      <alignment horizontal="right"/>
      <protection locked="0"/>
    </xf>
    <xf numFmtId="4" fontId="315" fillId="12" borderId="125" xfId="28" applyNumberFormat="1" applyFont="1" applyFill="1" applyBorder="1" applyAlignment="1">
      <alignment horizontal="right"/>
      <protection locked="0"/>
    </xf>
    <xf numFmtId="39" fontId="315" fillId="12" borderId="125" xfId="24" applyNumberFormat="1" applyFont="1" applyFill="1" applyBorder="1" applyAlignment="1" applyProtection="1">
      <alignment horizontal="right"/>
      <protection locked="0"/>
    </xf>
    <xf numFmtId="4" fontId="315" fillId="12" borderId="125" xfId="23" applyNumberFormat="1" applyFont="1" applyFill="1" applyBorder="1" applyAlignment="1">
      <alignment horizontal="right"/>
      <protection locked="0"/>
    </xf>
    <xf numFmtId="39" fontId="315" fillId="12" borderId="125" xfId="125" applyNumberFormat="1" applyFont="1" applyFill="1" applyBorder="1" applyAlignment="1" applyProtection="1">
      <alignment horizontal="right"/>
      <protection locked="0"/>
    </xf>
    <xf numFmtId="39" fontId="317" fillId="12" borderId="31" xfId="24" applyNumberFormat="1" applyFont="1" applyFill="1" applyBorder="1" applyAlignment="1" applyProtection="1">
      <alignment horizontal="right"/>
      <protection locked="0"/>
    </xf>
  </cellXfs>
  <cellStyles count="126">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FF66FF"/>
      <color rgb="FF66FF33"/>
      <color rgb="FF66FF99"/>
      <color rgb="FFFF5050"/>
      <color rgb="FF666699"/>
      <color rgb="FFCC3300"/>
      <color rgb="FF66FF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1"/>
  <sheetViews>
    <sheetView showGridLines="0" tabSelected="1" topLeftCell="B31"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794" t="s">
        <v>11615</v>
      </c>
      <c r="C2" s="5795"/>
      <c r="D2" s="5795"/>
      <c r="E2" s="5795"/>
      <c r="F2" s="5795"/>
      <c r="G2" s="5795"/>
      <c r="H2" s="5795"/>
      <c r="I2" s="5795"/>
      <c r="J2" s="3641"/>
    </row>
    <row r="3" spans="2:14" ht="12.75" customHeight="1">
      <c r="B3" s="5796" t="s">
        <v>43</v>
      </c>
      <c r="C3" s="5795"/>
      <c r="D3" s="5795"/>
      <c r="E3" s="5795"/>
      <c r="F3" s="5795"/>
      <c r="G3" s="5795"/>
      <c r="H3" s="5795"/>
      <c r="I3" s="5795"/>
    </row>
    <row r="4" spans="2:14" ht="12.75" customHeight="1"/>
    <row r="5" spans="2:14" s="18" customFormat="1" ht="21" customHeight="1">
      <c r="C5" s="50" t="s">
        <v>2</v>
      </c>
      <c r="D5" s="5797" t="s">
        <v>31</v>
      </c>
      <c r="E5" s="5798"/>
      <c r="F5" s="5798"/>
      <c r="G5" s="5798"/>
      <c r="H5" s="5799"/>
      <c r="I5" s="51"/>
      <c r="N5" s="3642"/>
    </row>
    <row r="6" spans="2:14" ht="13.5" customHeight="1">
      <c r="C6" s="3"/>
      <c r="D6" s="5"/>
      <c r="E6" s="6"/>
      <c r="F6" s="6"/>
      <c r="G6" s="6"/>
      <c r="H6" s="4"/>
      <c r="I6" s="4"/>
      <c r="N6" s="3643"/>
    </row>
    <row r="7" spans="2:14" ht="12.75" customHeight="1">
      <c r="C7" s="7" t="s">
        <v>3</v>
      </c>
      <c r="D7" s="5802" t="s">
        <v>32</v>
      </c>
      <c r="E7" s="5802"/>
      <c r="F7" s="5802"/>
      <c r="G7" s="5802"/>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10414</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10488</v>
      </c>
      <c r="C21" s="3774"/>
      <c r="D21" s="3777"/>
      <c r="E21" s="3778"/>
      <c r="F21" s="3781"/>
      <c r="G21" s="3782"/>
      <c r="H21" s="3782"/>
      <c r="I21" s="3783">
        <f>CelkemObjekty</f>
        <v>50000</v>
      </c>
      <c r="J21" s="3645"/>
    </row>
    <row r="22" spans="2:11">
      <c r="B22" s="17" t="s">
        <v>9</v>
      </c>
      <c r="C22" s="18"/>
      <c r="D22" s="19">
        <v>15</v>
      </c>
      <c r="E22" s="20" t="s">
        <v>8</v>
      </c>
      <c r="F22" s="21"/>
      <c r="G22" s="22"/>
      <c r="H22" s="22"/>
      <c r="I22" s="23">
        <f>(I21-F68)*0.15</f>
        <v>0</v>
      </c>
      <c r="J22" s="3645"/>
    </row>
    <row r="23" spans="2:11">
      <c r="B23" s="3773" t="s">
        <v>11551</v>
      </c>
      <c r="C23" s="3774"/>
      <c r="D23" s="3777"/>
      <c r="E23" s="3778"/>
      <c r="F23" s="4620"/>
      <c r="G23" s="4621"/>
      <c r="H23" s="4621"/>
      <c r="I23" s="4622">
        <f>SUM(I21:I22)</f>
        <v>50000</v>
      </c>
      <c r="J23" s="3645"/>
    </row>
    <row r="24" spans="2:11">
      <c r="B24" s="4623" t="s">
        <v>11552</v>
      </c>
      <c r="C24" s="4624"/>
      <c r="D24" s="4625"/>
      <c r="E24" s="4626"/>
      <c r="F24" s="4627"/>
      <c r="G24" s="4628"/>
      <c r="H24" s="4628"/>
      <c r="I24" s="4629">
        <f>G69</f>
        <v>0</v>
      </c>
      <c r="J24" s="3645"/>
    </row>
    <row r="25" spans="2:11">
      <c r="B25" s="17" t="s">
        <v>9</v>
      </c>
      <c r="C25" s="18"/>
      <c r="D25" s="19">
        <v>15</v>
      </c>
      <c r="E25" s="20" t="s">
        <v>8</v>
      </c>
      <c r="F25" s="21"/>
      <c r="G25" s="22"/>
      <c r="H25" s="22"/>
      <c r="I25" s="23">
        <f>I24*0.15</f>
        <v>0</v>
      </c>
      <c r="J25" s="3645"/>
    </row>
    <row r="26" spans="2:11" ht="13.5" thickBot="1">
      <c r="B26" s="3775" t="s">
        <v>11553</v>
      </c>
      <c r="C26" s="3776"/>
      <c r="D26" s="3779"/>
      <c r="E26" s="3780"/>
      <c r="F26" s="21"/>
      <c r="G26" s="22"/>
      <c r="H26" s="22"/>
      <c r="I26" s="3784">
        <f>SUM(I24:I25)</f>
        <v>0</v>
      </c>
      <c r="J26" s="3645"/>
    </row>
    <row r="27" spans="2:11" ht="16.5" thickBot="1">
      <c r="B27" s="24" t="s">
        <v>10706</v>
      </c>
      <c r="C27" s="25"/>
      <c r="D27" s="25"/>
      <c r="E27" s="26"/>
      <c r="F27" s="27"/>
      <c r="G27" s="28"/>
      <c r="H27" s="28"/>
      <c r="I27" s="29">
        <f>I24+I21</f>
        <v>50000</v>
      </c>
      <c r="J27" s="3646"/>
      <c r="K27" s="3647"/>
    </row>
    <row r="28" spans="2:11" ht="16.5" thickBot="1">
      <c r="B28" s="24" t="s">
        <v>10707</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10495</v>
      </c>
      <c r="G34" s="3772" t="s">
        <v>10496</v>
      </c>
      <c r="H34" s="3771" t="s">
        <v>10498</v>
      </c>
      <c r="I34" s="3772" t="s">
        <v>10497</v>
      </c>
      <c r="J34" s="3650"/>
    </row>
    <row r="35" spans="2:12">
      <c r="B35" s="34" t="s">
        <v>0</v>
      </c>
      <c r="C35" s="35"/>
      <c r="D35" s="36"/>
      <c r="E35" s="37"/>
      <c r="F35" s="4577"/>
      <c r="G35" s="4578"/>
      <c r="H35" s="4578"/>
      <c r="I35" s="4579"/>
      <c r="K35" s="3651"/>
    </row>
    <row r="36" spans="2:12">
      <c r="B36" s="38"/>
      <c r="C36" s="5800" t="s">
        <v>12</v>
      </c>
      <c r="D36" s="5801"/>
      <c r="E36" s="5801"/>
      <c r="F36" s="4580"/>
      <c r="G36" s="4580">
        <f>VRN!G42</f>
        <v>0</v>
      </c>
      <c r="H36" s="4580"/>
      <c r="I36" s="4581">
        <f>G36*1.15</f>
        <v>0</v>
      </c>
      <c r="J36" s="3652"/>
      <c r="K36" s="3653"/>
      <c r="L36" s="3649"/>
    </row>
    <row r="37" spans="2:12" ht="12.75" customHeight="1">
      <c r="B37" s="46"/>
      <c r="C37" s="5792" t="s">
        <v>41</v>
      </c>
      <c r="D37" s="5793"/>
      <c r="E37" s="5793"/>
      <c r="F37" s="4580">
        <f>SUM(F38:F44)</f>
        <v>0</v>
      </c>
      <c r="G37" s="4580">
        <f>SUM(G38:G44)</f>
        <v>0</v>
      </c>
      <c r="H37" s="4580">
        <f>SUM(H38:H44)</f>
        <v>0</v>
      </c>
      <c r="I37" s="4581">
        <f>SUM(I38:I44)</f>
        <v>0</v>
      </c>
      <c r="J37" s="3652"/>
      <c r="K37" s="3648"/>
    </row>
    <row r="38" spans="2:12" ht="12.75" customHeight="1">
      <c r="B38" s="3062"/>
      <c r="C38" s="5790" t="s">
        <v>11545</v>
      </c>
      <c r="D38" s="5791"/>
      <c r="E38" s="5791"/>
      <c r="F38" s="4630">
        <f>'Rekapitulace stavby'!AG95</f>
        <v>0</v>
      </c>
      <c r="G38" s="4630"/>
      <c r="H38" s="4631">
        <f>F38*1.15</f>
        <v>0</v>
      </c>
      <c r="I38" s="4632"/>
      <c r="J38" s="3652"/>
    </row>
    <row r="39" spans="2:12" ht="12.75" customHeight="1">
      <c r="B39" s="3062"/>
      <c r="C39" s="5790" t="s">
        <v>11546</v>
      </c>
      <c r="D39" s="5791"/>
      <c r="E39" s="5791"/>
      <c r="F39" s="4630">
        <f>'Rekapitulace stavby'!AG96</f>
        <v>0</v>
      </c>
      <c r="G39" s="4630"/>
      <c r="H39" s="4631">
        <f>F39*1.15</f>
        <v>0</v>
      </c>
      <c r="I39" s="4632"/>
      <c r="J39" s="3652"/>
    </row>
    <row r="40" spans="2:12" ht="12.75" customHeight="1">
      <c r="B40" s="3062"/>
      <c r="C40" s="5790" t="s">
        <v>11547</v>
      </c>
      <c r="D40" s="5791"/>
      <c r="E40" s="5791"/>
      <c r="F40" s="4630">
        <f>'Rekapitulace stavby'!AG97</f>
        <v>0</v>
      </c>
      <c r="G40" s="4630"/>
      <c r="H40" s="4631">
        <f>F40*1.15</f>
        <v>0</v>
      </c>
      <c r="I40" s="4632"/>
      <c r="J40" s="3652"/>
    </row>
    <row r="41" spans="2:12" ht="25.5" customHeight="1">
      <c r="B41" s="3062"/>
      <c r="C41" s="5790" t="s">
        <v>11548</v>
      </c>
      <c r="D41" s="5791"/>
      <c r="E41" s="5791"/>
      <c r="F41" s="4630"/>
      <c r="G41" s="4630">
        <f>'Rekapitulace stavby'!AG98</f>
        <v>0</v>
      </c>
      <c r="H41" s="4631"/>
      <c r="I41" s="4632">
        <f>G41*1.15</f>
        <v>0</v>
      </c>
      <c r="J41" s="3652"/>
    </row>
    <row r="42" spans="2:12" ht="12.75" customHeight="1">
      <c r="B42" s="3062"/>
      <c r="C42" s="5790" t="s">
        <v>11549</v>
      </c>
      <c r="D42" s="5791"/>
      <c r="E42" s="5791"/>
      <c r="F42" s="4630"/>
      <c r="G42" s="4630">
        <f>'Rekapitulace stavby'!AG99</f>
        <v>0</v>
      </c>
      <c r="H42" s="4631"/>
      <c r="I42" s="4632">
        <f>G42*1.15</f>
        <v>0</v>
      </c>
      <c r="J42" s="3652"/>
    </row>
    <row r="43" spans="2:12" ht="25.5" customHeight="1">
      <c r="B43" s="3062"/>
      <c r="C43" s="5790" t="s">
        <v>11550</v>
      </c>
      <c r="D43" s="5791"/>
      <c r="E43" s="5791"/>
      <c r="F43" s="4630"/>
      <c r="G43" s="4630">
        <f>'Rekapitulace stavby'!AG100</f>
        <v>0</v>
      </c>
      <c r="H43" s="4631"/>
      <c r="I43" s="4632">
        <f>G43*1.15</f>
        <v>0</v>
      </c>
      <c r="J43" s="3652"/>
    </row>
    <row r="44" spans="2:12" ht="12.75" customHeight="1">
      <c r="B44" s="46"/>
      <c r="C44" s="5996" t="s">
        <v>12198</v>
      </c>
      <c r="D44" s="5997"/>
      <c r="E44" s="5997"/>
      <c r="F44" s="4630">
        <f>'D.1.1.c.01. VÝPIS DVEŘÍ'!H782</f>
        <v>0</v>
      </c>
      <c r="G44" s="4630"/>
      <c r="H44" s="4631">
        <f t="shared" ref="H44:H49" si="0">F44*1.15</f>
        <v>0</v>
      </c>
      <c r="I44" s="4632"/>
      <c r="J44" s="3652"/>
    </row>
    <row r="45" spans="2:12" ht="12.75" customHeight="1">
      <c r="B45" s="46"/>
      <c r="C45" s="5792" t="s">
        <v>40</v>
      </c>
      <c r="D45" s="5793"/>
      <c r="E45" s="5793"/>
      <c r="F45" s="4580">
        <f>'D.1.4.1. ZTI'!H997</f>
        <v>0</v>
      </c>
      <c r="G45" s="4580">
        <f>'D.1.4.1. ZTI'!I998</f>
        <v>0</v>
      </c>
      <c r="H45" s="4604">
        <f t="shared" si="0"/>
        <v>0</v>
      </c>
      <c r="I45" s="4581">
        <f>G45*1.15</f>
        <v>0</v>
      </c>
      <c r="J45" s="3652"/>
    </row>
    <row r="46" spans="2:12" ht="12.75" customHeight="1">
      <c r="B46" s="46"/>
      <c r="C46" s="5792" t="s">
        <v>39</v>
      </c>
      <c r="D46" s="5793"/>
      <c r="E46" s="5793"/>
      <c r="F46" s="4580">
        <f>'D.1.4.2. ODBĚR. PLYN. ZAŘÍZ.'!H277</f>
        <v>0</v>
      </c>
      <c r="G46" s="4580"/>
      <c r="H46" s="4604">
        <f t="shared" si="0"/>
        <v>0</v>
      </c>
      <c r="I46" s="4581"/>
      <c r="J46" s="3652"/>
    </row>
    <row r="47" spans="2:12" ht="12.75" customHeight="1">
      <c r="B47" s="46"/>
      <c r="C47" s="5792" t="s">
        <v>38</v>
      </c>
      <c r="D47" s="5793"/>
      <c r="E47" s="5793"/>
      <c r="F47" s="4580">
        <f>'D.1.4.3. VZDUCHOTECHNIKA'!H1513</f>
        <v>0</v>
      </c>
      <c r="G47" s="4580">
        <f>'D.1.4.3. VZDUCHOTECHNIKA'!I1514</f>
        <v>0</v>
      </c>
      <c r="H47" s="4604">
        <f t="shared" si="0"/>
        <v>0</v>
      </c>
      <c r="I47" s="4581">
        <f>G47*1.15</f>
        <v>0</v>
      </c>
      <c r="J47" s="3652"/>
    </row>
    <row r="48" spans="2:12" ht="12.75" customHeight="1">
      <c r="B48" s="46"/>
      <c r="C48" s="5792" t="s">
        <v>37</v>
      </c>
      <c r="D48" s="5793"/>
      <c r="E48" s="5793"/>
      <c r="F48" s="4580">
        <f>'D.1.4.4. VYTÁPĚNÍ'!H600</f>
        <v>0</v>
      </c>
      <c r="G48" s="4580">
        <f>'D.1.4.4. VYTÁPĚNÍ'!I601</f>
        <v>0</v>
      </c>
      <c r="H48" s="4604">
        <f t="shared" si="0"/>
        <v>0</v>
      </c>
      <c r="I48" s="4581">
        <f>G48*1.15</f>
        <v>0</v>
      </c>
      <c r="J48" s="3652"/>
    </row>
    <row r="49" spans="2:11" ht="12.75" customHeight="1">
      <c r="B49" s="46"/>
      <c r="C49" s="5792" t="s">
        <v>36</v>
      </c>
      <c r="D49" s="5793"/>
      <c r="E49" s="5793"/>
      <c r="F49" s="4580">
        <f>'D.1.4.5. CHLAZENÍ'!H490</f>
        <v>0</v>
      </c>
      <c r="G49" s="4580"/>
      <c r="H49" s="4604">
        <f t="shared" si="0"/>
        <v>0</v>
      </c>
      <c r="I49" s="4581"/>
      <c r="J49" s="3652"/>
    </row>
    <row r="50" spans="2:11" ht="12.75" customHeight="1">
      <c r="B50" s="46"/>
      <c r="C50" s="5792" t="s">
        <v>35</v>
      </c>
      <c r="D50" s="5793"/>
      <c r="E50" s="5793"/>
      <c r="F50" s="5803" t="s">
        <v>10413</v>
      </c>
      <c r="G50" s="5804"/>
      <c r="H50" s="5804"/>
      <c r="I50" s="5805"/>
      <c r="J50" s="3654"/>
    </row>
    <row r="51" spans="2:11" ht="12.75" customHeight="1">
      <c r="B51" s="46"/>
      <c r="C51" s="5792" t="s">
        <v>34</v>
      </c>
      <c r="D51" s="5793"/>
      <c r="E51" s="5793"/>
      <c r="F51" s="4580">
        <f>'D.1.4.7. SILNOPROUD'!H482</f>
        <v>0</v>
      </c>
      <c r="G51" s="4580">
        <f>'D.1.4.7. SILNOPROUD'!I483</f>
        <v>0</v>
      </c>
      <c r="H51" s="4604">
        <f>F51*1.15</f>
        <v>0</v>
      </c>
      <c r="I51" s="4581">
        <f>G51*1.15</f>
        <v>0</v>
      </c>
      <c r="J51" s="3652"/>
    </row>
    <row r="52" spans="2:11" ht="12.75" customHeight="1">
      <c r="B52" s="46"/>
      <c r="C52" s="5792" t="s">
        <v>42</v>
      </c>
      <c r="D52" s="5793"/>
      <c r="E52" s="5793"/>
      <c r="F52" s="4580">
        <f>'D.1.4.7.1 FOTOVOLTAIKA'!H96</f>
        <v>0</v>
      </c>
      <c r="G52" s="4580"/>
      <c r="H52" s="4604">
        <f>F52*1.15</f>
        <v>0</v>
      </c>
      <c r="I52" s="4581"/>
      <c r="J52" s="3652"/>
    </row>
    <row r="53" spans="2:11">
      <c r="B53" s="46"/>
      <c r="C53" s="5792" t="s">
        <v>33</v>
      </c>
      <c r="D53" s="5793"/>
      <c r="E53" s="5793"/>
      <c r="F53" s="4580">
        <f>REKAPITULACE!C10</f>
        <v>0</v>
      </c>
      <c r="G53" s="4580">
        <f>REKAPITULACE!D10</f>
        <v>0</v>
      </c>
      <c r="H53" s="4604">
        <f>F53*1.15</f>
        <v>0</v>
      </c>
      <c r="I53" s="4581">
        <f>G53*1.15</f>
        <v>0</v>
      </c>
      <c r="J53" s="3652"/>
      <c r="K53" s="3648"/>
    </row>
    <row r="54" spans="2:11" ht="13.5" customHeight="1">
      <c r="B54" s="46"/>
      <c r="C54" s="5792" t="s">
        <v>45</v>
      </c>
      <c r="D54" s="5793"/>
      <c r="E54" s="5793"/>
      <c r="F54" s="4580"/>
      <c r="G54" s="4580">
        <f>'REKAPITULACE - SÚ'!C11</f>
        <v>0</v>
      </c>
      <c r="H54" s="4604"/>
      <c r="I54" s="4581">
        <f>G54*1.15</f>
        <v>0</v>
      </c>
      <c r="J54" s="3652"/>
    </row>
    <row r="55" spans="2:11" ht="13.5" customHeight="1">
      <c r="B55" s="46"/>
      <c r="C55" s="5792" t="s">
        <v>46</v>
      </c>
      <c r="D55" s="5793"/>
      <c r="E55" s="5793"/>
      <c r="F55" s="4580"/>
      <c r="G55" s="4580">
        <f>'D.1.4.10.2. ZP. PLOCHY A KOMUN.'!H428</f>
        <v>0</v>
      </c>
      <c r="H55" s="4604"/>
      <c r="I55" s="4581">
        <f>G55*1.15</f>
        <v>0</v>
      </c>
      <c r="J55" s="3652"/>
    </row>
    <row r="56" spans="2:11" ht="13.5" customHeight="1">
      <c r="B56" s="46"/>
      <c r="C56" s="5792" t="s">
        <v>47</v>
      </c>
      <c r="D56" s="5793"/>
      <c r="E56" s="5793"/>
      <c r="F56" s="4580"/>
      <c r="G56" s="4580">
        <f>'REKAPITULACE - DA'!C11</f>
        <v>0</v>
      </c>
      <c r="H56" s="4604"/>
      <c r="I56" s="4581">
        <f>G56*1.15</f>
        <v>0</v>
      </c>
      <c r="J56" s="3652"/>
    </row>
    <row r="57" spans="2:11">
      <c r="B57" s="46"/>
      <c r="C57" s="5792" t="s">
        <v>48</v>
      </c>
      <c r="D57" s="5793"/>
      <c r="E57" s="5793"/>
      <c r="F57" s="4580">
        <f>'D.2.1. PŘÍPOJKA VODOVODU'!H213</f>
        <v>0</v>
      </c>
      <c r="G57" s="4580"/>
      <c r="H57" s="4604">
        <f>F57*1.15</f>
        <v>0</v>
      </c>
      <c r="I57" s="4581"/>
      <c r="J57" s="3652"/>
    </row>
    <row r="58" spans="2:11">
      <c r="B58" s="46"/>
      <c r="C58" s="5792" t="s">
        <v>49</v>
      </c>
      <c r="D58" s="5793"/>
      <c r="E58" s="5793"/>
      <c r="F58" s="4580"/>
      <c r="G58" s="4580">
        <f>'D.2.1.1. AREÁLOVÝ VODOVOD'!H169</f>
        <v>0</v>
      </c>
      <c r="H58" s="4604"/>
      <c r="I58" s="4581">
        <f>G58*1.15</f>
        <v>0</v>
      </c>
      <c r="J58" s="3652"/>
    </row>
    <row r="59" spans="2:11">
      <c r="B59" s="46"/>
      <c r="C59" s="5792" t="s">
        <v>50</v>
      </c>
      <c r="D59" s="5793"/>
      <c r="E59" s="5793"/>
      <c r="F59" s="4580">
        <f>'D.2.2. PŘÍPOJKA KANALIZACE'!H240</f>
        <v>0</v>
      </c>
      <c r="G59" s="4580"/>
      <c r="H59" s="4604">
        <f>F59*1.15</f>
        <v>0</v>
      </c>
      <c r="I59" s="4581"/>
      <c r="J59" s="3652"/>
    </row>
    <row r="60" spans="2:11">
      <c r="B60" s="46"/>
      <c r="C60" s="5792" t="s">
        <v>51</v>
      </c>
      <c r="D60" s="5793"/>
      <c r="E60" s="5793"/>
      <c r="F60" s="4580">
        <f>'REKAPITULACE - AREÁL KAN'!C15</f>
        <v>0</v>
      </c>
      <c r="G60" s="4580"/>
      <c r="H60" s="4604">
        <f>F60*1.15</f>
        <v>0</v>
      </c>
      <c r="I60" s="4581"/>
      <c r="J60" s="3652"/>
    </row>
    <row r="61" spans="2:11">
      <c r="B61" s="46"/>
      <c r="C61" s="5792" t="s">
        <v>52</v>
      </c>
      <c r="D61" s="5793"/>
      <c r="E61" s="5793"/>
      <c r="F61" s="4580">
        <f>'D.2.4. PŘELOŽKA STL PLYNOVODU'!H208</f>
        <v>0</v>
      </c>
      <c r="G61" s="4580"/>
      <c r="H61" s="4604">
        <f>F61*1.15</f>
        <v>0</v>
      </c>
      <c r="I61" s="4581"/>
      <c r="J61" s="3652"/>
    </row>
    <row r="62" spans="2:11">
      <c r="B62" s="46"/>
      <c r="C62" s="5792" t="s">
        <v>53</v>
      </c>
      <c r="D62" s="5793"/>
      <c r="E62" s="5793"/>
      <c r="F62" s="5803" t="s">
        <v>6116</v>
      </c>
      <c r="G62" s="5804"/>
      <c r="H62" s="5804"/>
      <c r="I62" s="5805"/>
      <c r="J62" s="3652"/>
    </row>
    <row r="63" spans="2:11">
      <c r="B63" s="46"/>
      <c r="C63" s="5792" t="s">
        <v>54</v>
      </c>
      <c r="D63" s="5793"/>
      <c r="E63" s="5793"/>
      <c r="F63" s="4580">
        <f>'D.2.5. PŘÍPOJKA NN'!H214</f>
        <v>0</v>
      </c>
      <c r="G63" s="4580"/>
      <c r="H63" s="4604">
        <f>F63*1.15</f>
        <v>0</v>
      </c>
      <c r="I63" s="4581"/>
      <c r="J63" s="3652"/>
    </row>
    <row r="64" spans="2:11">
      <c r="B64" s="46"/>
      <c r="C64" s="5792" t="s">
        <v>55</v>
      </c>
      <c r="D64" s="5793"/>
      <c r="E64" s="5793"/>
      <c r="F64" s="4580">
        <f>'D.2.6. PŘÍPOJKA EL. KOMUNIKACE'!H200</f>
        <v>0</v>
      </c>
      <c r="G64" s="4580"/>
      <c r="H64" s="4604">
        <f>F64*1.15</f>
        <v>0</v>
      </c>
      <c r="I64" s="4581"/>
      <c r="J64" s="3652"/>
    </row>
    <row r="65" spans="1:15">
      <c r="B65" s="46"/>
      <c r="C65" s="5792" t="s">
        <v>56</v>
      </c>
      <c r="D65" s="5793"/>
      <c r="E65" s="5793"/>
      <c r="F65" s="4580"/>
      <c r="G65" s="4580">
        <f>'D.2.7. AREÁL OSVĚTLENÍ - TR. A1'!H128</f>
        <v>0</v>
      </c>
      <c r="H65" s="4604"/>
      <c r="I65" s="4581">
        <f>G65*1.15</f>
        <v>0</v>
      </c>
      <c r="J65" s="3652"/>
    </row>
    <row r="66" spans="1:15">
      <c r="B66" s="46"/>
      <c r="C66" s="5792" t="s">
        <v>57</v>
      </c>
      <c r="D66" s="5793"/>
      <c r="E66" s="5793"/>
      <c r="F66" s="4580"/>
      <c r="G66" s="4580">
        <f>'REKAPITULACE - AREÁL NN'!C16</f>
        <v>0</v>
      </c>
      <c r="H66" s="4604"/>
      <c r="I66" s="4581">
        <f>G66*1.15</f>
        <v>0</v>
      </c>
      <c r="J66" s="3652"/>
    </row>
    <row r="67" spans="1:15">
      <c r="B67" s="46"/>
      <c r="C67" s="5792" t="s">
        <v>58</v>
      </c>
      <c r="D67" s="5793"/>
      <c r="E67" s="5793"/>
      <c r="F67" s="4580">
        <f>'KOLEJNICOVÝ SYSTÉM'!F27</f>
        <v>0</v>
      </c>
      <c r="G67" s="4580"/>
      <c r="H67" s="4604">
        <f>F67*1.15</f>
        <v>0</v>
      </c>
      <c r="I67" s="4581"/>
      <c r="J67" s="3652"/>
    </row>
    <row r="68" spans="1:15">
      <c r="B68" s="3062"/>
      <c r="C68" s="5806" t="s">
        <v>10110</v>
      </c>
      <c r="D68" s="5807"/>
      <c r="E68" s="5807"/>
      <c r="F68" s="4604">
        <v>50000</v>
      </c>
      <c r="G68" s="4604"/>
      <c r="H68" s="4604">
        <f>F68*1</f>
        <v>50000</v>
      </c>
      <c r="I68" s="4581"/>
      <c r="J68" s="3652"/>
    </row>
    <row r="69" spans="1:15" ht="17.25" customHeight="1">
      <c r="B69" s="39" t="s">
        <v>13</v>
      </c>
      <c r="C69" s="40"/>
      <c r="D69" s="41"/>
      <c r="E69" s="42"/>
      <c r="F69" s="43">
        <f>SUM(F45:F49,F51:F61,F63:F68,F37)</f>
        <v>50000</v>
      </c>
      <c r="G69" s="43">
        <f>SUM(G44:G49,G51:G61,G63:G68,G36:G37)</f>
        <v>0</v>
      </c>
      <c r="H69" s="43">
        <f>SUM(H45:H49,H51:H61,H63:H68,H36:H37)</f>
        <v>50000</v>
      </c>
      <c r="I69" s="43">
        <f>SUM(I45:I49,I51:I61,I63:I68,I36:I37)</f>
        <v>0</v>
      </c>
      <c r="J69" s="3648"/>
      <c r="K69" s="3648"/>
      <c r="M69" s="3648"/>
    </row>
    <row r="70" spans="1:15">
      <c r="B70" s="3640"/>
      <c r="C70" s="3640"/>
      <c r="D70" s="3640"/>
      <c r="E70" s="3640"/>
      <c r="F70" s="3640"/>
      <c r="G70" s="3640"/>
      <c r="H70" s="3640"/>
      <c r="I70" s="3640"/>
      <c r="J70" s="3640"/>
    </row>
    <row r="71" spans="1:15" ht="2.25" customHeight="1"/>
    <row r="72" spans="1:15" ht="1.5" customHeight="1"/>
    <row r="73" spans="1:15" ht="0.75" customHeight="1"/>
    <row r="74" spans="1:15" ht="0.75" customHeight="1"/>
    <row r="75" spans="1:15" ht="0.75" customHeight="1"/>
    <row r="76" spans="1:15" ht="18">
      <c r="B76" s="30" t="s">
        <v>1</v>
      </c>
      <c r="C76" s="2"/>
      <c r="D76" s="2"/>
      <c r="E76" s="2"/>
      <c r="F76" s="2"/>
      <c r="G76" s="2"/>
      <c r="H76" s="2"/>
      <c r="I76" s="2"/>
    </row>
    <row r="77" spans="1:15" s="45" customFormat="1" ht="27" customHeight="1">
      <c r="A77" s="5811" t="s">
        <v>14</v>
      </c>
      <c r="B77" s="5812"/>
      <c r="C77" s="5812"/>
      <c r="D77" s="5812"/>
      <c r="E77" s="5812"/>
      <c r="F77" s="5812"/>
      <c r="G77" s="5812"/>
      <c r="H77" s="5812"/>
      <c r="I77" s="5812"/>
    </row>
    <row r="78" spans="1:15" s="44" customFormat="1" ht="24.6" customHeight="1">
      <c r="A78" s="5811" t="s">
        <v>29</v>
      </c>
      <c r="B78" s="5809"/>
      <c r="C78" s="5809"/>
      <c r="D78" s="5809"/>
      <c r="E78" s="5809"/>
      <c r="F78" s="5809"/>
      <c r="G78" s="5809"/>
      <c r="H78" s="5810"/>
      <c r="I78" s="5810"/>
      <c r="J78" s="3655"/>
      <c r="L78" s="3656"/>
    </row>
    <row r="79" spans="1:15" s="45" customFormat="1" ht="24.6" customHeight="1">
      <c r="B79" s="5813" t="s">
        <v>59</v>
      </c>
      <c r="C79" s="5813"/>
      <c r="D79" s="5813"/>
      <c r="E79" s="5813"/>
      <c r="F79" s="5813"/>
      <c r="G79" s="5813"/>
      <c r="H79" s="5813"/>
      <c r="I79" s="5813"/>
    </row>
    <row r="80" spans="1:15" s="44" customFormat="1" ht="24.6" customHeight="1">
      <c r="A80" s="5808" t="s">
        <v>30</v>
      </c>
      <c r="B80" s="5809"/>
      <c r="C80" s="5809"/>
      <c r="D80" s="5809"/>
      <c r="E80" s="5809"/>
      <c r="F80" s="5809"/>
      <c r="G80" s="5809"/>
      <c r="H80" s="5810"/>
      <c r="I80" s="5810"/>
      <c r="K80" s="3655"/>
      <c r="M80" s="3657"/>
      <c r="O80" s="3658"/>
    </row>
    <row r="81" spans="1:12" s="44" customFormat="1" ht="24.6" customHeight="1">
      <c r="A81" s="5808" t="s">
        <v>62</v>
      </c>
      <c r="B81" s="5809"/>
      <c r="C81" s="5809"/>
      <c r="D81" s="5809"/>
      <c r="E81" s="5809"/>
      <c r="F81" s="5809"/>
      <c r="G81" s="5809"/>
      <c r="H81" s="5810"/>
      <c r="I81" s="5810"/>
      <c r="J81" s="3655"/>
      <c r="L81" s="3656"/>
    </row>
  </sheetData>
  <mergeCells count="44">
    <mergeCell ref="F62:I62"/>
    <mergeCell ref="C68:E68"/>
    <mergeCell ref="A81:I81"/>
    <mergeCell ref="A80:I80"/>
    <mergeCell ref="A77:I77"/>
    <mergeCell ref="A78:I78"/>
    <mergeCell ref="B79:I79"/>
    <mergeCell ref="C65:E65"/>
    <mergeCell ref="C67:E67"/>
    <mergeCell ref="C66:E66"/>
    <mergeCell ref="C63:E63"/>
    <mergeCell ref="C64:E64"/>
    <mergeCell ref="C37:E37"/>
    <mergeCell ref="C48:E48"/>
    <mergeCell ref="C49:E49"/>
    <mergeCell ref="C52:E52"/>
    <mergeCell ref="B2:I2"/>
    <mergeCell ref="B3:I3"/>
    <mergeCell ref="D5:H5"/>
    <mergeCell ref="C36:E36"/>
    <mergeCell ref="D7:G7"/>
    <mergeCell ref="C50:E50"/>
    <mergeCell ref="C51:E51"/>
    <mergeCell ref="F50:I50"/>
    <mergeCell ref="C38:E38"/>
    <mergeCell ref="C39:E39"/>
    <mergeCell ref="C40:E40"/>
    <mergeCell ref="C41:E41"/>
    <mergeCell ref="C43:E43"/>
    <mergeCell ref="C42:E42"/>
    <mergeCell ref="C60:E60"/>
    <mergeCell ref="C61:E61"/>
    <mergeCell ref="C62:E62"/>
    <mergeCell ref="C53:E53"/>
    <mergeCell ref="C45:E45"/>
    <mergeCell ref="C46:E46"/>
    <mergeCell ref="C47:E47"/>
    <mergeCell ref="C54:E54"/>
    <mergeCell ref="C55:E55"/>
    <mergeCell ref="C56:E56"/>
    <mergeCell ref="C57:E57"/>
    <mergeCell ref="C58:E58"/>
    <mergeCell ref="C59:E59"/>
    <mergeCell ref="C44:E44"/>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817" t="s">
        <v>2</v>
      </c>
      <c r="B2" s="5818"/>
      <c r="C2" s="5821" t="s">
        <v>31</v>
      </c>
      <c r="D2" s="5822"/>
      <c r="E2" s="5822"/>
      <c r="F2" s="5822"/>
      <c r="G2" s="5823"/>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819"/>
      <c r="B3" s="5820"/>
      <c r="C3" s="5824"/>
      <c r="D3" s="5824"/>
      <c r="E3" s="5824"/>
      <c r="F3" s="5824"/>
      <c r="G3" s="5825"/>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826" t="s">
        <v>10562</v>
      </c>
      <c r="B4" s="5827"/>
      <c r="C4" s="5828" t="s">
        <v>10563</v>
      </c>
      <c r="D4" s="5829"/>
      <c r="E4" s="5829"/>
      <c r="F4" s="5829"/>
      <c r="G4" s="5830"/>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10564</v>
      </c>
      <c r="B7" s="4333" t="s">
        <v>10565</v>
      </c>
      <c r="C7" s="4334" t="s">
        <v>12</v>
      </c>
      <c r="D7" s="5831" t="s">
        <v>10566</v>
      </c>
      <c r="E7" s="5832"/>
      <c r="F7" s="5832"/>
      <c r="G7" s="5832"/>
      <c r="H7" s="4336" t="s">
        <v>22</v>
      </c>
      <c r="K7" s="4582"/>
      <c r="M7" s="4583"/>
    </row>
    <row r="8" spans="1:254" ht="33.75">
      <c r="A8" s="4335">
        <v>1</v>
      </c>
      <c r="B8" s="4337" t="s">
        <v>10567</v>
      </c>
      <c r="C8" s="4338" t="s">
        <v>10568</v>
      </c>
      <c r="D8" s="4339" t="s">
        <v>23</v>
      </c>
      <c r="E8" s="4340">
        <v>1</v>
      </c>
      <c r="F8" s="4340"/>
      <c r="G8" s="4350">
        <f t="shared" ref="G8:G16" si="0">ROUND(E8*F8,2)</f>
        <v>0</v>
      </c>
      <c r="H8" s="4341" t="s">
        <v>60</v>
      </c>
      <c r="K8" s="4584"/>
      <c r="L8" s="4585"/>
      <c r="M8" s="4584"/>
      <c r="Q8" s="4586"/>
      <c r="R8" s="4585"/>
      <c r="S8" s="4586"/>
    </row>
    <row r="9" spans="1:254" ht="22.5">
      <c r="A9" s="4335">
        <v>2</v>
      </c>
      <c r="B9" s="4337" t="s">
        <v>10569</v>
      </c>
      <c r="C9" s="4338" t="s">
        <v>10570</v>
      </c>
      <c r="D9" s="4339" t="s">
        <v>23</v>
      </c>
      <c r="E9" s="4340">
        <v>1</v>
      </c>
      <c r="F9" s="4340"/>
      <c r="G9" s="4350">
        <f t="shared" si="0"/>
        <v>0</v>
      </c>
      <c r="H9" s="4341" t="s">
        <v>60</v>
      </c>
      <c r="J9" s="4587"/>
      <c r="K9" s="4584"/>
      <c r="L9" s="4585"/>
      <c r="M9" s="4584"/>
      <c r="Q9" s="4586"/>
      <c r="R9" s="4585"/>
      <c r="S9" s="4586"/>
    </row>
    <row r="10" spans="1:254" ht="33.75">
      <c r="A10" s="4335">
        <v>3</v>
      </c>
      <c r="B10" s="4337" t="s">
        <v>10571</v>
      </c>
      <c r="C10" s="4338" t="s">
        <v>10572</v>
      </c>
      <c r="D10" s="4339" t="s">
        <v>23</v>
      </c>
      <c r="E10" s="4340">
        <v>1</v>
      </c>
      <c r="F10" s="4340"/>
      <c r="G10" s="4350">
        <f t="shared" si="0"/>
        <v>0</v>
      </c>
      <c r="H10" s="4341" t="s">
        <v>60</v>
      </c>
      <c r="K10" s="4584"/>
      <c r="L10" s="4585"/>
      <c r="M10" s="4584"/>
      <c r="Q10" s="4586"/>
      <c r="R10" s="4585"/>
      <c r="S10" s="4586"/>
    </row>
    <row r="11" spans="1:254" ht="45">
      <c r="A11" s="4335">
        <v>4</v>
      </c>
      <c r="B11" s="4337" t="s">
        <v>10573</v>
      </c>
      <c r="C11" s="4338" t="s">
        <v>10574</v>
      </c>
      <c r="D11" s="4339" t="s">
        <v>23</v>
      </c>
      <c r="E11" s="4340">
        <v>1</v>
      </c>
      <c r="F11" s="4340"/>
      <c r="G11" s="4350">
        <f t="shared" si="0"/>
        <v>0</v>
      </c>
      <c r="H11" s="4341" t="s">
        <v>60</v>
      </c>
      <c r="K11" s="4584"/>
      <c r="L11" s="4585"/>
      <c r="M11" s="4584"/>
      <c r="Q11" s="4586"/>
      <c r="R11" s="4585"/>
      <c r="S11" s="4586"/>
    </row>
    <row r="12" spans="1:254" ht="22.5">
      <c r="A12" s="4335">
        <v>5</v>
      </c>
      <c r="B12" s="4337" t="s">
        <v>10575</v>
      </c>
      <c r="C12" s="4338" t="s">
        <v>10576</v>
      </c>
      <c r="D12" s="4339" t="s">
        <v>23</v>
      </c>
      <c r="E12" s="4340">
        <v>1</v>
      </c>
      <c r="F12" s="4340"/>
      <c r="G12" s="4350">
        <f t="shared" si="0"/>
        <v>0</v>
      </c>
      <c r="H12" s="4341" t="s">
        <v>60</v>
      </c>
      <c r="I12" s="4331"/>
      <c r="K12" s="4584"/>
      <c r="L12" s="4585"/>
      <c r="M12" s="4584"/>
      <c r="Q12" s="4586"/>
      <c r="R12" s="4585"/>
      <c r="S12" s="4586"/>
    </row>
    <row r="13" spans="1:254" ht="22.5">
      <c r="A13" s="4335">
        <v>6</v>
      </c>
      <c r="B13" s="4337" t="s">
        <v>10577</v>
      </c>
      <c r="C13" s="4338" t="s">
        <v>10578</v>
      </c>
      <c r="D13" s="4339" t="s">
        <v>23</v>
      </c>
      <c r="E13" s="4340">
        <v>1</v>
      </c>
      <c r="F13" s="4340"/>
      <c r="G13" s="4350">
        <f t="shared" si="0"/>
        <v>0</v>
      </c>
      <c r="H13" s="4341" t="s">
        <v>60</v>
      </c>
      <c r="I13" s="4331"/>
      <c r="K13" s="4584"/>
      <c r="L13" s="4585"/>
      <c r="M13" s="4584"/>
      <c r="Q13" s="4586"/>
      <c r="R13" s="4585"/>
      <c r="S13" s="4586"/>
    </row>
    <row r="14" spans="1:254" ht="22.5">
      <c r="A14" s="4335">
        <v>7</v>
      </c>
      <c r="B14" s="4337" t="s">
        <v>10579</v>
      </c>
      <c r="C14" s="4338" t="s">
        <v>10580</v>
      </c>
      <c r="D14" s="4339" t="s">
        <v>23</v>
      </c>
      <c r="E14" s="4340">
        <v>1</v>
      </c>
      <c r="F14" s="4340"/>
      <c r="G14" s="4350">
        <f t="shared" si="0"/>
        <v>0</v>
      </c>
      <c r="H14" s="4341" t="s">
        <v>60</v>
      </c>
      <c r="I14" s="4331"/>
      <c r="K14" s="4584"/>
      <c r="L14" s="4585"/>
      <c r="M14" s="4584"/>
      <c r="Q14" s="4586"/>
      <c r="R14" s="4585"/>
      <c r="S14" s="4586"/>
    </row>
    <row r="15" spans="1:254" ht="22.5">
      <c r="A15" s="4335">
        <v>8</v>
      </c>
      <c r="B15" s="4337" t="s">
        <v>10581</v>
      </c>
      <c r="C15" s="4338" t="s">
        <v>10582</v>
      </c>
      <c r="D15" s="4339" t="s">
        <v>23</v>
      </c>
      <c r="E15" s="4340">
        <v>1</v>
      </c>
      <c r="F15" s="4340"/>
      <c r="G15" s="4350">
        <f t="shared" si="0"/>
        <v>0</v>
      </c>
      <c r="H15" s="4341" t="s">
        <v>60</v>
      </c>
      <c r="I15" s="4331"/>
      <c r="K15" s="4584"/>
      <c r="L15" s="4585"/>
      <c r="M15" s="4584"/>
      <c r="Q15" s="4586"/>
      <c r="R15" s="4585"/>
      <c r="S15" s="4586"/>
    </row>
    <row r="16" spans="1:254">
      <c r="A16" s="4335">
        <v>9</v>
      </c>
      <c r="B16" s="4337" t="s">
        <v>10583</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10584</v>
      </c>
      <c r="D17" s="4339"/>
      <c r="E17" s="4340"/>
      <c r="F17" s="4340"/>
      <c r="G17" s="4350"/>
      <c r="H17" s="4342"/>
      <c r="K17" s="4584"/>
      <c r="L17" s="4585"/>
      <c r="M17" s="4584"/>
      <c r="Q17" s="4586"/>
    </row>
    <row r="18" spans="1:19" ht="22.5">
      <c r="A18" s="4335">
        <v>10</v>
      </c>
      <c r="B18" s="4337" t="s">
        <v>10585</v>
      </c>
      <c r="C18" s="4338" t="s">
        <v>10586</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10587</v>
      </c>
      <c r="C19" s="4338" t="s">
        <v>10588</v>
      </c>
      <c r="D19" s="4339" t="s">
        <v>23</v>
      </c>
      <c r="E19" s="4340">
        <v>1</v>
      </c>
      <c r="F19" s="4340"/>
      <c r="G19" s="4350">
        <f t="shared" si="1"/>
        <v>0</v>
      </c>
      <c r="H19" s="4341" t="s">
        <v>60</v>
      </c>
      <c r="I19" s="4331"/>
      <c r="K19" s="4584"/>
      <c r="L19" s="4585"/>
      <c r="M19" s="4584"/>
      <c r="Q19" s="4586"/>
      <c r="R19" s="4585"/>
      <c r="S19" s="4586"/>
    </row>
    <row r="20" spans="1:19" ht="33.75">
      <c r="A20" s="4335">
        <v>12</v>
      </c>
      <c r="B20" s="4337" t="s">
        <v>10589</v>
      </c>
      <c r="C20" s="4338" t="s">
        <v>10590</v>
      </c>
      <c r="D20" s="4339" t="s">
        <v>23</v>
      </c>
      <c r="E20" s="4340">
        <v>1</v>
      </c>
      <c r="F20" s="4340"/>
      <c r="G20" s="4350">
        <f t="shared" si="1"/>
        <v>0</v>
      </c>
      <c r="H20" s="4341" t="s">
        <v>60</v>
      </c>
      <c r="K20" s="4584"/>
      <c r="L20" s="4585"/>
      <c r="M20" s="4584"/>
      <c r="Q20" s="4586"/>
      <c r="R20" s="4585"/>
      <c r="S20" s="4586"/>
    </row>
    <row r="21" spans="1:19" ht="45">
      <c r="A21" s="4335">
        <v>13</v>
      </c>
      <c r="B21" s="4337" t="s">
        <v>10591</v>
      </c>
      <c r="C21" s="4338" t="s">
        <v>10592</v>
      </c>
      <c r="D21" s="4339" t="s">
        <v>23</v>
      </c>
      <c r="E21" s="4340">
        <v>1</v>
      </c>
      <c r="F21" s="4340"/>
      <c r="G21" s="4350">
        <f t="shared" si="1"/>
        <v>0</v>
      </c>
      <c r="H21" s="4341" t="s">
        <v>60</v>
      </c>
      <c r="K21" s="4584"/>
      <c r="L21" s="4585"/>
      <c r="M21" s="4584"/>
      <c r="Q21" s="4586"/>
      <c r="R21" s="4585"/>
      <c r="S21" s="4586"/>
    </row>
    <row r="22" spans="1:19" ht="33.75">
      <c r="A22" s="4335">
        <v>14</v>
      </c>
      <c r="B22" s="4337" t="s">
        <v>10593</v>
      </c>
      <c r="C22" s="4338" t="s">
        <v>10594</v>
      </c>
      <c r="D22" s="4339" t="s">
        <v>23</v>
      </c>
      <c r="E22" s="4340">
        <v>1</v>
      </c>
      <c r="F22" s="4340"/>
      <c r="G22" s="4350">
        <f t="shared" si="1"/>
        <v>0</v>
      </c>
      <c r="H22" s="4341" t="s">
        <v>60</v>
      </c>
      <c r="K22" s="4584"/>
      <c r="L22" s="4585"/>
      <c r="M22" s="4584"/>
      <c r="Q22" s="4586"/>
      <c r="R22" s="4585"/>
      <c r="S22" s="4586"/>
    </row>
    <row r="23" spans="1:19" ht="22.5">
      <c r="A23" s="4335">
        <v>15</v>
      </c>
      <c r="B23" s="4337" t="s">
        <v>10595</v>
      </c>
      <c r="C23" s="4338" t="s">
        <v>10596</v>
      </c>
      <c r="D23" s="4339" t="s">
        <v>23</v>
      </c>
      <c r="E23" s="4340">
        <v>1</v>
      </c>
      <c r="F23" s="4340"/>
      <c r="G23" s="4350">
        <f t="shared" si="1"/>
        <v>0</v>
      </c>
      <c r="H23" s="4341" t="s">
        <v>60</v>
      </c>
      <c r="I23" s="4331"/>
      <c r="K23" s="4584"/>
      <c r="L23" s="4585"/>
      <c r="M23" s="4584"/>
      <c r="Q23" s="4586"/>
      <c r="R23" s="4585"/>
      <c r="S23" s="4586"/>
    </row>
    <row r="24" spans="1:19" ht="22.5">
      <c r="A24" s="4335">
        <v>16</v>
      </c>
      <c r="B24" s="4337" t="s">
        <v>10597</v>
      </c>
      <c r="C24" s="4338" t="s">
        <v>10598</v>
      </c>
      <c r="D24" s="4339" t="s">
        <v>23</v>
      </c>
      <c r="E24" s="4340">
        <v>1</v>
      </c>
      <c r="F24" s="4340"/>
      <c r="G24" s="4350">
        <f t="shared" si="1"/>
        <v>0</v>
      </c>
      <c r="H24" s="4341" t="s">
        <v>60</v>
      </c>
      <c r="I24" s="4331"/>
      <c r="K24" s="4584"/>
      <c r="L24" s="4585"/>
      <c r="M24" s="4584"/>
      <c r="Q24" s="4586"/>
      <c r="R24" s="4585"/>
      <c r="S24" s="4586"/>
    </row>
    <row r="25" spans="1:19" ht="45">
      <c r="A25" s="4335">
        <v>17</v>
      </c>
      <c r="B25" s="4337" t="s">
        <v>10599</v>
      </c>
      <c r="C25" s="4338" t="s">
        <v>10600</v>
      </c>
      <c r="D25" s="4339" t="s">
        <v>23</v>
      </c>
      <c r="E25" s="4340">
        <v>1</v>
      </c>
      <c r="F25" s="4340"/>
      <c r="G25" s="4350">
        <f t="shared" si="1"/>
        <v>0</v>
      </c>
      <c r="H25" s="4341" t="s">
        <v>60</v>
      </c>
      <c r="K25" s="4584"/>
      <c r="L25" s="4585"/>
      <c r="M25" s="4584"/>
      <c r="Q25" s="4586"/>
      <c r="R25" s="4585"/>
      <c r="S25" s="4586"/>
    </row>
    <row r="26" spans="1:19" ht="45">
      <c r="A26" s="4335">
        <v>18</v>
      </c>
      <c r="B26" s="4337" t="s">
        <v>10601</v>
      </c>
      <c r="C26" s="4338" t="s">
        <v>10602</v>
      </c>
      <c r="D26" s="4339" t="s">
        <v>23</v>
      </c>
      <c r="E26" s="4340">
        <v>1</v>
      </c>
      <c r="F26" s="4340"/>
      <c r="G26" s="4350">
        <f t="shared" si="1"/>
        <v>0</v>
      </c>
      <c r="H26" s="4341" t="s">
        <v>60</v>
      </c>
      <c r="K26" s="4584"/>
      <c r="L26" s="4585"/>
      <c r="M26" s="4584"/>
      <c r="Q26" s="4586"/>
      <c r="R26" s="4585"/>
      <c r="S26" s="4586"/>
    </row>
    <row r="27" spans="1:19">
      <c r="A27" s="4335">
        <v>19</v>
      </c>
      <c r="B27" s="4337" t="s">
        <v>10603</v>
      </c>
      <c r="C27" s="4558" t="s">
        <v>10604</v>
      </c>
      <c r="D27" s="4339" t="s">
        <v>23</v>
      </c>
      <c r="E27" s="4340">
        <v>1</v>
      </c>
      <c r="F27" s="4340"/>
      <c r="G27" s="4350">
        <f t="shared" si="1"/>
        <v>0</v>
      </c>
      <c r="H27" s="4341" t="s">
        <v>60</v>
      </c>
      <c r="K27" s="4584"/>
      <c r="L27" s="4585"/>
      <c r="M27" s="4584"/>
      <c r="Q27" s="4586"/>
      <c r="R27" s="4585"/>
      <c r="S27" s="4586"/>
    </row>
    <row r="28" spans="1:19" ht="123.75">
      <c r="A28" s="4335"/>
      <c r="B28" s="4337"/>
      <c r="C28" s="4559" t="s">
        <v>10628</v>
      </c>
      <c r="D28" s="4339"/>
      <c r="E28" s="4340"/>
      <c r="F28" s="4340"/>
      <c r="G28" s="4350"/>
      <c r="H28" s="4562"/>
      <c r="K28" s="4584"/>
      <c r="L28" s="4585"/>
      <c r="M28" s="4584"/>
      <c r="Q28" s="4586"/>
    </row>
    <row r="29" spans="1:19">
      <c r="A29" s="4335">
        <v>20</v>
      </c>
      <c r="B29" s="4337" t="s">
        <v>10605</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10606</v>
      </c>
      <c r="D30" s="4339"/>
      <c r="E30" s="4340"/>
      <c r="F30" s="4340"/>
      <c r="G30" s="4350"/>
      <c r="H30" s="4562"/>
      <c r="K30" s="4584"/>
      <c r="L30" s="4585"/>
      <c r="M30" s="4584"/>
      <c r="Q30" s="4586"/>
    </row>
    <row r="31" spans="1:19" ht="27" customHeight="1">
      <c r="A31" s="4335">
        <v>21</v>
      </c>
      <c r="B31" s="4337" t="s">
        <v>10607</v>
      </c>
      <c r="C31" s="4338" t="s">
        <v>10608</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10609</v>
      </c>
      <c r="D32" s="4339"/>
      <c r="E32" s="4340"/>
      <c r="F32" s="4340"/>
      <c r="G32" s="4350"/>
      <c r="H32" s="4562"/>
      <c r="I32" s="4589"/>
      <c r="K32" s="4584"/>
      <c r="L32" s="4590"/>
      <c r="M32" s="4584"/>
      <c r="Q32" s="4586"/>
    </row>
    <row r="33" spans="1:19" ht="27" customHeight="1">
      <c r="A33" s="4335">
        <v>22</v>
      </c>
      <c r="B33" s="4337" t="s">
        <v>10610</v>
      </c>
      <c r="C33" s="4338" t="s">
        <v>10611</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10612</v>
      </c>
      <c r="D34" s="4339"/>
      <c r="E34" s="4340"/>
      <c r="F34" s="4340"/>
      <c r="G34" s="4350"/>
      <c r="H34" s="4562"/>
      <c r="I34" s="4589"/>
      <c r="K34" s="4584"/>
      <c r="L34" s="4590"/>
      <c r="M34" s="4584"/>
      <c r="Q34" s="4586"/>
    </row>
    <row r="35" spans="1:19" ht="33.75">
      <c r="A35" s="4335">
        <v>23</v>
      </c>
      <c r="B35" s="4337" t="s">
        <v>10613</v>
      </c>
      <c r="C35" s="4338" t="s">
        <v>10629</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10614</v>
      </c>
      <c r="C36" s="4338" t="s">
        <v>10615</v>
      </c>
      <c r="D36" s="4339" t="s">
        <v>23</v>
      </c>
      <c r="E36" s="4340">
        <v>1</v>
      </c>
      <c r="F36" s="4340"/>
      <c r="G36" s="4350">
        <f t="shared" si="2"/>
        <v>0</v>
      </c>
      <c r="H36" s="4341" t="s">
        <v>60</v>
      </c>
      <c r="I36" s="4331"/>
      <c r="K36" s="4584"/>
      <c r="L36" s="4585"/>
      <c r="M36" s="4584"/>
      <c r="Q36" s="4586"/>
      <c r="R36" s="4585"/>
      <c r="S36" s="4586"/>
    </row>
    <row r="37" spans="1:19">
      <c r="A37" s="4335">
        <v>25</v>
      </c>
      <c r="B37" s="4337" t="s">
        <v>10616</v>
      </c>
      <c r="C37" s="4338" t="s">
        <v>10617</v>
      </c>
      <c r="D37" s="4339" t="s">
        <v>23</v>
      </c>
      <c r="E37" s="4340">
        <v>1</v>
      </c>
      <c r="F37" s="4340"/>
      <c r="G37" s="4350">
        <f t="shared" si="2"/>
        <v>0</v>
      </c>
      <c r="H37" s="4341" t="s">
        <v>60</v>
      </c>
      <c r="K37" s="4584"/>
      <c r="L37" s="4585"/>
      <c r="M37" s="4584"/>
      <c r="Q37" s="4586"/>
      <c r="R37" s="4585"/>
      <c r="S37" s="4586"/>
    </row>
    <row r="38" spans="1:19" ht="56.25">
      <c r="A38" s="4335">
        <v>26</v>
      </c>
      <c r="B38" s="4337" t="s">
        <v>10618</v>
      </c>
      <c r="C38" s="4338" t="s">
        <v>10619</v>
      </c>
      <c r="D38" s="4339" t="s">
        <v>23</v>
      </c>
      <c r="E38" s="4340">
        <v>1</v>
      </c>
      <c r="F38" s="4340"/>
      <c r="G38" s="4350">
        <f t="shared" si="2"/>
        <v>0</v>
      </c>
      <c r="H38" s="4341" t="s">
        <v>60</v>
      </c>
      <c r="K38" s="4584"/>
      <c r="L38" s="4585"/>
      <c r="M38" s="4584"/>
      <c r="Q38" s="4586"/>
      <c r="R38" s="4585"/>
      <c r="S38" s="4586"/>
    </row>
    <row r="39" spans="1:19" ht="56.25">
      <c r="A39" s="4560">
        <v>27</v>
      </c>
      <c r="B39" s="4337" t="s">
        <v>10620</v>
      </c>
      <c r="C39" s="4338" t="s">
        <v>10621</v>
      </c>
      <c r="D39" s="4339" t="s">
        <v>23</v>
      </c>
      <c r="E39" s="4340">
        <v>1</v>
      </c>
      <c r="F39" s="4561"/>
      <c r="G39" s="4350">
        <f t="shared" si="2"/>
        <v>0</v>
      </c>
      <c r="H39" s="4341" t="s">
        <v>60</v>
      </c>
      <c r="K39" s="4584"/>
      <c r="L39" s="4585"/>
      <c r="M39" s="4584"/>
      <c r="Q39" s="4586"/>
      <c r="R39" s="4585"/>
      <c r="S39" s="4586"/>
    </row>
    <row r="40" spans="1:19">
      <c r="A40" s="4335">
        <v>28</v>
      </c>
      <c r="B40" s="4337" t="s">
        <v>10622</v>
      </c>
      <c r="C40" s="4338" t="s">
        <v>10623</v>
      </c>
      <c r="D40" s="4339" t="s">
        <v>23</v>
      </c>
      <c r="E40" s="4340">
        <v>1</v>
      </c>
      <c r="F40" s="4340"/>
      <c r="G40" s="4350">
        <f t="shared" si="2"/>
        <v>0</v>
      </c>
      <c r="H40" s="4341" t="s">
        <v>60</v>
      </c>
      <c r="K40" s="4584"/>
      <c r="L40" s="4585"/>
      <c r="M40" s="4584"/>
      <c r="Q40" s="4586"/>
      <c r="R40" s="4585"/>
      <c r="S40" s="4586"/>
    </row>
    <row r="41" spans="1:19" ht="22.5">
      <c r="A41" s="4335">
        <v>29</v>
      </c>
      <c r="B41" s="4337" t="s">
        <v>10624</v>
      </c>
      <c r="C41" s="4338" t="s">
        <v>10625</v>
      </c>
      <c r="D41" s="4339" t="s">
        <v>23</v>
      </c>
      <c r="E41" s="4340">
        <v>1</v>
      </c>
      <c r="F41" s="4340"/>
      <c r="G41" s="4350">
        <f t="shared" si="2"/>
        <v>0</v>
      </c>
      <c r="H41" s="4341" t="s">
        <v>60</v>
      </c>
      <c r="K41" s="4584"/>
      <c r="L41" s="4585"/>
      <c r="M41" s="4584"/>
      <c r="Q41" s="4586"/>
      <c r="R41" s="4585"/>
      <c r="S41" s="4586"/>
    </row>
    <row r="42" spans="1:19">
      <c r="A42" s="4343"/>
      <c r="B42" s="4344" t="s">
        <v>10626</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814" t="s">
        <v>10627</v>
      </c>
      <c r="B45" s="5833"/>
      <c r="C45" s="5833"/>
      <c r="D45" s="5833"/>
      <c r="E45" s="5833"/>
      <c r="F45" s="5833"/>
      <c r="G45" s="5833"/>
      <c r="H45" s="4331"/>
    </row>
    <row r="46" spans="1:19" ht="100.5" customHeight="1">
      <c r="A46" s="5814" t="s">
        <v>26</v>
      </c>
      <c r="B46" s="5814"/>
      <c r="C46" s="5814"/>
      <c r="D46" s="5814"/>
      <c r="E46" s="5814"/>
      <c r="F46" s="5814"/>
      <c r="G46" s="5814"/>
      <c r="H46" s="4331"/>
    </row>
    <row r="47" spans="1:19" ht="13.5" customHeight="1">
      <c r="A47" s="5814" t="s">
        <v>27</v>
      </c>
      <c r="B47" s="5815"/>
      <c r="C47" s="5815"/>
      <c r="D47" s="5815"/>
      <c r="E47" s="5815"/>
      <c r="F47" s="5815"/>
      <c r="G47" s="5815"/>
      <c r="H47" s="4331"/>
    </row>
    <row r="48" spans="1:19" ht="13.5" customHeight="1">
      <c r="A48" s="5814" t="s">
        <v>28</v>
      </c>
      <c r="B48" s="5815"/>
      <c r="C48" s="5815"/>
      <c r="D48" s="5815"/>
      <c r="E48" s="5815"/>
      <c r="F48" s="5815"/>
      <c r="G48" s="5815"/>
      <c r="H48" s="4331"/>
    </row>
    <row r="49" spans="1:9" s="52" customFormat="1" ht="40.5" customHeight="1">
      <c r="A49" s="5816" t="s">
        <v>61</v>
      </c>
      <c r="B49" s="5816"/>
      <c r="C49" s="5816"/>
      <c r="D49" s="5816"/>
      <c r="E49" s="5816"/>
      <c r="F49" s="5816"/>
      <c r="G49" s="5816"/>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869" t="s">
        <v>10708</v>
      </c>
      <c r="AS2" s="5870"/>
      <c r="AT2" s="5870"/>
      <c r="AU2" s="5870"/>
      <c r="AV2" s="5870"/>
      <c r="AW2" s="5870"/>
      <c r="AX2" s="5870"/>
      <c r="AY2" s="5870"/>
      <c r="AZ2" s="5870"/>
      <c r="BA2" s="5870"/>
      <c r="BB2" s="5870"/>
      <c r="BC2" s="5870"/>
      <c r="BD2" s="5870"/>
      <c r="BE2" s="5870"/>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871" t="s">
        <v>3155</v>
      </c>
      <c r="L5" s="5870"/>
      <c r="M5" s="5870"/>
      <c r="N5" s="5870"/>
      <c r="O5" s="5870"/>
      <c r="P5" s="5870"/>
      <c r="Q5" s="5870"/>
      <c r="R5" s="5870"/>
      <c r="S5" s="5870"/>
      <c r="T5" s="5870"/>
      <c r="U5" s="5870"/>
      <c r="V5" s="5870"/>
      <c r="W5" s="5870"/>
      <c r="X5" s="5870"/>
      <c r="Y5" s="5870"/>
      <c r="Z5" s="5870"/>
      <c r="AA5" s="5870"/>
      <c r="AB5" s="5870"/>
      <c r="AC5" s="5870"/>
      <c r="AD5" s="5870"/>
      <c r="AE5" s="5870"/>
      <c r="AF5" s="5870"/>
      <c r="AG5" s="5870"/>
      <c r="AH5" s="5870"/>
      <c r="AI5" s="5870"/>
      <c r="AJ5" s="5870"/>
      <c r="AK5" s="5870"/>
      <c r="AL5" s="5870"/>
      <c r="AM5" s="5870"/>
      <c r="AN5" s="5870"/>
      <c r="AO5" s="5870"/>
      <c r="AR5" s="2059"/>
      <c r="BS5" s="2056" t="s">
        <v>3150</v>
      </c>
    </row>
    <row r="6" spans="1:74" ht="36.950000000000003" customHeight="1">
      <c r="B6" s="2059"/>
      <c r="D6" s="2064" t="s">
        <v>3156</v>
      </c>
      <c r="K6" s="5872" t="s">
        <v>3157</v>
      </c>
      <c r="L6" s="5870"/>
      <c r="M6" s="5870"/>
      <c r="N6" s="5870"/>
      <c r="O6" s="5870"/>
      <c r="P6" s="5870"/>
      <c r="Q6" s="5870"/>
      <c r="R6" s="5870"/>
      <c r="S6" s="5870"/>
      <c r="T6" s="5870"/>
      <c r="U6" s="5870"/>
      <c r="V6" s="5870"/>
      <c r="W6" s="5870"/>
      <c r="X6" s="5870"/>
      <c r="Y6" s="5870"/>
      <c r="Z6" s="5870"/>
      <c r="AA6" s="5870"/>
      <c r="AB6" s="5870"/>
      <c r="AC6" s="5870"/>
      <c r="AD6" s="5870"/>
      <c r="AE6" s="5870"/>
      <c r="AF6" s="5870"/>
      <c r="AG6" s="5870"/>
      <c r="AH6" s="5870"/>
      <c r="AI6" s="5870"/>
      <c r="AJ6" s="5870"/>
      <c r="AK6" s="5870"/>
      <c r="AL6" s="5870"/>
      <c r="AM6" s="5870"/>
      <c r="AN6" s="5870"/>
      <c r="AO6" s="5870"/>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873" t="s">
        <v>3146</v>
      </c>
      <c r="F23" s="5873"/>
      <c r="G23" s="5873"/>
      <c r="H23" s="5873"/>
      <c r="I23" s="5873"/>
      <c r="J23" s="5873"/>
      <c r="K23" s="5873"/>
      <c r="L23" s="5873"/>
      <c r="M23" s="5873"/>
      <c r="N23" s="5873"/>
      <c r="O23" s="5873"/>
      <c r="P23" s="5873"/>
      <c r="Q23" s="5873"/>
      <c r="R23" s="5873"/>
      <c r="S23" s="5873"/>
      <c r="T23" s="5873"/>
      <c r="U23" s="5873"/>
      <c r="V23" s="5873"/>
      <c r="W23" s="5873"/>
      <c r="X23" s="5873"/>
      <c r="Y23" s="5873"/>
      <c r="Z23" s="5873"/>
      <c r="AA23" s="5873"/>
      <c r="AB23" s="5873"/>
      <c r="AC23" s="5873"/>
      <c r="AD23" s="5873"/>
      <c r="AE23" s="5873"/>
      <c r="AF23" s="5873"/>
      <c r="AG23" s="5873"/>
      <c r="AH23" s="5873"/>
      <c r="AI23" s="5873"/>
      <c r="AJ23" s="5873"/>
      <c r="AK23" s="5873"/>
      <c r="AL23" s="5873"/>
      <c r="AM23" s="5873"/>
      <c r="AN23" s="5873"/>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868">
        <f>ROUND(AG94,2)</f>
        <v>0</v>
      </c>
      <c r="AL26" s="5870"/>
      <c r="AM26" s="5870"/>
      <c r="AN26" s="5870"/>
      <c r="AO26" s="5870"/>
      <c r="AR26" s="2059"/>
    </row>
    <row r="27" spans="2:71" ht="14.45" customHeight="1">
      <c r="B27" s="2059"/>
      <c r="D27" s="2068" t="s">
        <v>3174</v>
      </c>
      <c r="AK27" s="5868">
        <f>ROUND(AG102, 2)</f>
        <v>0</v>
      </c>
      <c r="AL27" s="5868"/>
      <c r="AM27" s="5868"/>
      <c r="AN27" s="5868"/>
      <c r="AO27" s="5868"/>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865">
        <f>ROUND(AK26 + AK27, 2)</f>
        <v>0</v>
      </c>
      <c r="AL29" s="5866"/>
      <c r="AM29" s="5866"/>
      <c r="AN29" s="5866"/>
      <c r="AO29" s="5866"/>
      <c r="AR29" s="2071"/>
    </row>
    <row r="30" spans="2:71" s="2070" customFormat="1" ht="6.95" customHeight="1">
      <c r="B30" s="2071"/>
      <c r="AR30" s="2071"/>
    </row>
    <row r="31" spans="2:71" s="2070" customFormat="1" ht="12.75">
      <c r="B31" s="2071"/>
      <c r="L31" s="5867" t="s">
        <v>3176</v>
      </c>
      <c r="M31" s="5867"/>
      <c r="N31" s="5867"/>
      <c r="O31" s="5867"/>
      <c r="P31" s="5867"/>
      <c r="W31" s="5867" t="s">
        <v>3177</v>
      </c>
      <c r="X31" s="5867"/>
      <c r="Y31" s="5867"/>
      <c r="Z31" s="5867"/>
      <c r="AA31" s="5867"/>
      <c r="AB31" s="5867"/>
      <c r="AC31" s="5867"/>
      <c r="AD31" s="5867"/>
      <c r="AE31" s="5867"/>
      <c r="AK31" s="5867" t="s">
        <v>3178</v>
      </c>
      <c r="AL31" s="5867"/>
      <c r="AM31" s="5867"/>
      <c r="AN31" s="5867"/>
      <c r="AO31" s="5867"/>
      <c r="AR31" s="2071"/>
    </row>
    <row r="32" spans="2:71" s="2075" customFormat="1" ht="14.45" customHeight="1">
      <c r="B32" s="2076"/>
      <c r="D32" s="2065" t="s">
        <v>3179</v>
      </c>
      <c r="F32" s="2065" t="s">
        <v>3180</v>
      </c>
      <c r="L32" s="5855">
        <v>0.21</v>
      </c>
      <c r="M32" s="5856"/>
      <c r="N32" s="5856"/>
      <c r="O32" s="5856"/>
      <c r="P32" s="5856"/>
      <c r="W32" s="5857">
        <f>ROUND(AZ94 + SUM(CD102), 2)</f>
        <v>0</v>
      </c>
      <c r="X32" s="5856"/>
      <c r="Y32" s="5856"/>
      <c r="Z32" s="5856"/>
      <c r="AA32" s="5856"/>
      <c r="AB32" s="5856"/>
      <c r="AC32" s="5856"/>
      <c r="AD32" s="5856"/>
      <c r="AE32" s="5856"/>
      <c r="AK32" s="5857">
        <f>ROUND(AV94 + SUM(BY102), 2)</f>
        <v>0</v>
      </c>
      <c r="AL32" s="5856"/>
      <c r="AM32" s="5856"/>
      <c r="AN32" s="5856"/>
      <c r="AO32" s="5856"/>
      <c r="AR32" s="2076"/>
    </row>
    <row r="33" spans="2:44" s="2075" customFormat="1" ht="14.45" customHeight="1">
      <c r="B33" s="2076"/>
      <c r="F33" s="2065" t="s">
        <v>3181</v>
      </c>
      <c r="L33" s="5855">
        <v>0.15</v>
      </c>
      <c r="M33" s="5856"/>
      <c r="N33" s="5856"/>
      <c r="O33" s="5856"/>
      <c r="P33" s="5856"/>
      <c r="W33" s="5857">
        <f>ROUND(BA94 + SUM(CE102), 2)</f>
        <v>0</v>
      </c>
      <c r="X33" s="5856"/>
      <c r="Y33" s="5856"/>
      <c r="Z33" s="5856"/>
      <c r="AA33" s="5856"/>
      <c r="AB33" s="5856"/>
      <c r="AC33" s="5856"/>
      <c r="AD33" s="5856"/>
      <c r="AE33" s="5856"/>
      <c r="AK33" s="5857">
        <f>ROUND(AW94 + SUM(BZ102), 2)</f>
        <v>0</v>
      </c>
      <c r="AL33" s="5856"/>
      <c r="AM33" s="5856"/>
      <c r="AN33" s="5856"/>
      <c r="AO33" s="5856"/>
      <c r="AR33" s="2076"/>
    </row>
    <row r="34" spans="2:44" s="2075" customFormat="1" ht="14.45" hidden="1" customHeight="1">
      <c r="B34" s="2076"/>
      <c r="F34" s="2065" t="s">
        <v>3182</v>
      </c>
      <c r="L34" s="5855">
        <v>0.21</v>
      </c>
      <c r="M34" s="5856"/>
      <c r="N34" s="5856"/>
      <c r="O34" s="5856"/>
      <c r="P34" s="5856"/>
      <c r="W34" s="5857">
        <f>ROUND(BB94 + SUM(CF102), 2)</f>
        <v>0</v>
      </c>
      <c r="X34" s="5856"/>
      <c r="Y34" s="5856"/>
      <c r="Z34" s="5856"/>
      <c r="AA34" s="5856"/>
      <c r="AB34" s="5856"/>
      <c r="AC34" s="5856"/>
      <c r="AD34" s="5856"/>
      <c r="AE34" s="5856"/>
      <c r="AK34" s="5857">
        <v>0</v>
      </c>
      <c r="AL34" s="5856"/>
      <c r="AM34" s="5856"/>
      <c r="AN34" s="5856"/>
      <c r="AO34" s="5856"/>
      <c r="AR34" s="2076"/>
    </row>
    <row r="35" spans="2:44" s="2075" customFormat="1" ht="14.45" hidden="1" customHeight="1">
      <c r="B35" s="2076"/>
      <c r="F35" s="2065" t="s">
        <v>3183</v>
      </c>
      <c r="L35" s="5855">
        <v>0.15</v>
      </c>
      <c r="M35" s="5856"/>
      <c r="N35" s="5856"/>
      <c r="O35" s="5856"/>
      <c r="P35" s="5856"/>
      <c r="W35" s="5857">
        <f>ROUND(BC94 + SUM(CG102), 2)</f>
        <v>0</v>
      </c>
      <c r="X35" s="5856"/>
      <c r="Y35" s="5856"/>
      <c r="Z35" s="5856"/>
      <c r="AA35" s="5856"/>
      <c r="AB35" s="5856"/>
      <c r="AC35" s="5856"/>
      <c r="AD35" s="5856"/>
      <c r="AE35" s="5856"/>
      <c r="AK35" s="5857">
        <v>0</v>
      </c>
      <c r="AL35" s="5856"/>
      <c r="AM35" s="5856"/>
      <c r="AN35" s="5856"/>
      <c r="AO35" s="5856"/>
      <c r="AR35" s="2076"/>
    </row>
    <row r="36" spans="2:44" s="2075" customFormat="1" ht="14.45" hidden="1" customHeight="1">
      <c r="B36" s="2076"/>
      <c r="F36" s="2065" t="s">
        <v>3184</v>
      </c>
      <c r="L36" s="5855">
        <v>0</v>
      </c>
      <c r="M36" s="5856"/>
      <c r="N36" s="5856"/>
      <c r="O36" s="5856"/>
      <c r="P36" s="5856"/>
      <c r="W36" s="5857">
        <f>ROUND(BD94 + SUM(CH102), 2)</f>
        <v>0</v>
      </c>
      <c r="X36" s="5856"/>
      <c r="Y36" s="5856"/>
      <c r="Z36" s="5856"/>
      <c r="AA36" s="5856"/>
      <c r="AB36" s="5856"/>
      <c r="AC36" s="5856"/>
      <c r="AD36" s="5856"/>
      <c r="AE36" s="5856"/>
      <c r="AK36" s="5857">
        <v>0</v>
      </c>
      <c r="AL36" s="5856"/>
      <c r="AM36" s="5856"/>
      <c r="AN36" s="5856"/>
      <c r="AO36" s="5856"/>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858" t="s">
        <v>3187</v>
      </c>
      <c r="Y38" s="5859"/>
      <c r="Z38" s="5859"/>
      <c r="AA38" s="5859"/>
      <c r="AB38" s="5859"/>
      <c r="AC38" s="2079"/>
      <c r="AD38" s="2079"/>
      <c r="AE38" s="2079"/>
      <c r="AF38" s="2079"/>
      <c r="AG38" s="2079"/>
      <c r="AH38" s="2079"/>
      <c r="AI38" s="2079"/>
      <c r="AJ38" s="2079"/>
      <c r="AK38" s="5860">
        <f>SUM(AK29:AK36)</f>
        <v>0</v>
      </c>
      <c r="AL38" s="5859"/>
      <c r="AM38" s="5859"/>
      <c r="AN38" s="5859"/>
      <c r="AO38" s="5861"/>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862" t="str">
        <f>K6</f>
        <v>Dostavba domova pro seniory ve Vrchlabí - PD</v>
      </c>
      <c r="M85" s="5863"/>
      <c r="N85" s="5863"/>
      <c r="O85" s="5863"/>
      <c r="P85" s="5863"/>
      <c r="Q85" s="5863"/>
      <c r="R85" s="5863"/>
      <c r="S85" s="5863"/>
      <c r="T85" s="5863"/>
      <c r="U85" s="5863"/>
      <c r="V85" s="5863"/>
      <c r="W85" s="5863"/>
      <c r="X85" s="5863"/>
      <c r="Y85" s="5863"/>
      <c r="Z85" s="5863"/>
      <c r="AA85" s="5863"/>
      <c r="AB85" s="5863"/>
      <c r="AC85" s="5863"/>
      <c r="AD85" s="5863"/>
      <c r="AE85" s="5863"/>
      <c r="AF85" s="5863"/>
      <c r="AG85" s="5863"/>
      <c r="AH85" s="5863"/>
      <c r="AI85" s="5863"/>
      <c r="AJ85" s="5863"/>
      <c r="AK85" s="5863"/>
      <c r="AL85" s="5863"/>
      <c r="AM85" s="5863"/>
      <c r="AN85" s="5863"/>
      <c r="AO85" s="5863"/>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864" t="str">
        <f>IF(AN8= "","",AN8)</f>
        <v>15. 5. 2023</v>
      </c>
      <c r="AN87" s="5864"/>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853" t="str">
        <f>IF(E17="","",E17)</f>
        <v xml:space="preserve"> </v>
      </c>
      <c r="AN89" s="5854"/>
      <c r="AO89" s="5854"/>
      <c r="AP89" s="5854"/>
      <c r="AR89" s="2071"/>
      <c r="AS89" s="5849" t="s">
        <v>3195</v>
      </c>
      <c r="AT89" s="5850"/>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853" t="str">
        <f>IF(E20="","",E20)</f>
        <v xml:space="preserve"> </v>
      </c>
      <c r="AN90" s="5854"/>
      <c r="AO90" s="5854"/>
      <c r="AP90" s="5854"/>
      <c r="AR90" s="2071"/>
      <c r="AS90" s="5851"/>
      <c r="AT90" s="5852"/>
      <c r="BD90" s="2098"/>
    </row>
    <row r="91" spans="1:91" s="2070" customFormat="1" ht="10.9" customHeight="1">
      <c r="B91" s="2071"/>
      <c r="AR91" s="2071"/>
      <c r="AS91" s="5851"/>
      <c r="AT91" s="5852"/>
      <c r="BD91" s="2098"/>
    </row>
    <row r="92" spans="1:91" s="2070" customFormat="1" ht="29.25" customHeight="1">
      <c r="B92" s="2071"/>
      <c r="C92" s="5843" t="s">
        <v>116</v>
      </c>
      <c r="D92" s="5844"/>
      <c r="E92" s="5844"/>
      <c r="F92" s="5844"/>
      <c r="G92" s="5844"/>
      <c r="H92" s="2099"/>
      <c r="I92" s="5845" t="s">
        <v>68</v>
      </c>
      <c r="J92" s="5844"/>
      <c r="K92" s="5844"/>
      <c r="L92" s="5844"/>
      <c r="M92" s="5844"/>
      <c r="N92" s="5844"/>
      <c r="O92" s="5844"/>
      <c r="P92" s="5844"/>
      <c r="Q92" s="5844"/>
      <c r="R92" s="5844"/>
      <c r="S92" s="5844"/>
      <c r="T92" s="5844"/>
      <c r="U92" s="5844"/>
      <c r="V92" s="5844"/>
      <c r="W92" s="5844"/>
      <c r="X92" s="5844"/>
      <c r="Y92" s="5844"/>
      <c r="Z92" s="5844"/>
      <c r="AA92" s="5844"/>
      <c r="AB92" s="5844"/>
      <c r="AC92" s="5844"/>
      <c r="AD92" s="5844"/>
      <c r="AE92" s="5844"/>
      <c r="AF92" s="5844"/>
      <c r="AG92" s="5846" t="s">
        <v>3196</v>
      </c>
      <c r="AH92" s="5844"/>
      <c r="AI92" s="5844"/>
      <c r="AJ92" s="5844"/>
      <c r="AK92" s="5844"/>
      <c r="AL92" s="5844"/>
      <c r="AM92" s="5844"/>
      <c r="AN92" s="5845" t="s">
        <v>3197</v>
      </c>
      <c r="AO92" s="5844"/>
      <c r="AP92" s="5847"/>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848">
        <f>ROUND(SUM(AG95:AG100),2)</f>
        <v>0</v>
      </c>
      <c r="AH94" s="5848"/>
      <c r="AI94" s="5848"/>
      <c r="AJ94" s="5848"/>
      <c r="AK94" s="5848"/>
      <c r="AL94" s="5848"/>
      <c r="AM94" s="5848"/>
      <c r="AN94" s="5834">
        <f t="shared" ref="AN94:AN100" si="0">SUM(AG94,AT94)</f>
        <v>0</v>
      </c>
      <c r="AO94" s="5834"/>
      <c r="AP94" s="5834"/>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836" t="s">
        <v>3218</v>
      </c>
      <c r="E95" s="5836"/>
      <c r="F95" s="5836"/>
      <c r="G95" s="5836"/>
      <c r="H95" s="5836"/>
      <c r="I95" s="2120"/>
      <c r="J95" s="5836" t="s">
        <v>3219</v>
      </c>
      <c r="K95" s="5836"/>
      <c r="L95" s="5836"/>
      <c r="M95" s="5836"/>
      <c r="N95" s="5836"/>
      <c r="O95" s="5836"/>
      <c r="P95" s="5836"/>
      <c r="Q95" s="5836"/>
      <c r="R95" s="5836"/>
      <c r="S95" s="5836"/>
      <c r="T95" s="5836"/>
      <c r="U95" s="5836"/>
      <c r="V95" s="5836"/>
      <c r="W95" s="5836"/>
      <c r="X95" s="5836"/>
      <c r="Y95" s="5836"/>
      <c r="Z95" s="5836"/>
      <c r="AA95" s="5836"/>
      <c r="AB95" s="5836"/>
      <c r="AC95" s="5836"/>
      <c r="AD95" s="5836"/>
      <c r="AE95" s="5836"/>
      <c r="AF95" s="5836"/>
      <c r="AG95" s="5841">
        <f>'01 - Novostavba'!J32</f>
        <v>0</v>
      </c>
      <c r="AH95" s="5842"/>
      <c r="AI95" s="5842"/>
      <c r="AJ95" s="5842"/>
      <c r="AK95" s="5842"/>
      <c r="AL95" s="5842"/>
      <c r="AM95" s="5842"/>
      <c r="AN95" s="5839">
        <f t="shared" si="0"/>
        <v>0</v>
      </c>
      <c r="AO95" s="5840"/>
      <c r="AP95" s="5840"/>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836" t="s">
        <v>3222</v>
      </c>
      <c r="E96" s="5836"/>
      <c r="F96" s="5836"/>
      <c r="G96" s="5836"/>
      <c r="H96" s="5836"/>
      <c r="I96" s="2120"/>
      <c r="J96" s="5836" t="s">
        <v>3223</v>
      </c>
      <c r="K96" s="5836"/>
      <c r="L96" s="5836"/>
      <c r="M96" s="5836"/>
      <c r="N96" s="5836"/>
      <c r="O96" s="5836"/>
      <c r="P96" s="5836"/>
      <c r="Q96" s="5836"/>
      <c r="R96" s="5836"/>
      <c r="S96" s="5836"/>
      <c r="T96" s="5836"/>
      <c r="U96" s="5836"/>
      <c r="V96" s="5836"/>
      <c r="W96" s="5836"/>
      <c r="X96" s="5836"/>
      <c r="Y96" s="5836"/>
      <c r="Z96" s="5836"/>
      <c r="AA96" s="5836"/>
      <c r="AB96" s="5836"/>
      <c r="AC96" s="5836"/>
      <c r="AD96" s="5836"/>
      <c r="AE96" s="5836"/>
      <c r="AF96" s="5836"/>
      <c r="AG96" s="5841">
        <f>'01.1 - Novostavba - podlahy'!J32</f>
        <v>0</v>
      </c>
      <c r="AH96" s="5842"/>
      <c r="AI96" s="5842"/>
      <c r="AJ96" s="5842"/>
      <c r="AK96" s="5842"/>
      <c r="AL96" s="5842"/>
      <c r="AM96" s="5842"/>
      <c r="AN96" s="5839">
        <f t="shared" si="0"/>
        <v>0</v>
      </c>
      <c r="AO96" s="5840"/>
      <c r="AP96" s="5840"/>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836" t="s">
        <v>3225</v>
      </c>
      <c r="E97" s="5836"/>
      <c r="F97" s="5836"/>
      <c r="G97" s="5836"/>
      <c r="H97" s="5836"/>
      <c r="I97" s="2120"/>
      <c r="J97" s="5836" t="s">
        <v>3226</v>
      </c>
      <c r="K97" s="5836"/>
      <c r="L97" s="5836"/>
      <c r="M97" s="5836"/>
      <c r="N97" s="5836"/>
      <c r="O97" s="5836"/>
      <c r="P97" s="5836"/>
      <c r="Q97" s="5836"/>
      <c r="R97" s="5836"/>
      <c r="S97" s="5836"/>
      <c r="T97" s="5836"/>
      <c r="U97" s="5836"/>
      <c r="V97" s="5836"/>
      <c r="W97" s="5836"/>
      <c r="X97" s="5836"/>
      <c r="Y97" s="5836"/>
      <c r="Z97" s="5836"/>
      <c r="AA97" s="5836"/>
      <c r="AB97" s="5836"/>
      <c r="AC97" s="5836"/>
      <c r="AD97" s="5836"/>
      <c r="AE97" s="5836"/>
      <c r="AF97" s="5836"/>
      <c r="AG97" s="5841">
        <f>'01.2 - Výpisy prvků - ta...'!J32</f>
        <v>0</v>
      </c>
      <c r="AH97" s="5842"/>
      <c r="AI97" s="5842"/>
      <c r="AJ97" s="5842"/>
      <c r="AK97" s="5842"/>
      <c r="AL97" s="5842"/>
      <c r="AM97" s="5842"/>
      <c r="AN97" s="5839">
        <f t="shared" si="0"/>
        <v>0</v>
      </c>
      <c r="AO97" s="5840"/>
      <c r="AP97" s="5840"/>
      <c r="AQ97" s="2121" t="s">
        <v>3220</v>
      </c>
      <c r="AR97" s="2118"/>
      <c r="AS97" s="2122">
        <v>0</v>
      </c>
      <c r="AT97" s="2123">
        <f t="shared" si="1"/>
        <v>0</v>
      </c>
      <c r="AU97" s="2124">
        <f>'01.2 - Výpisy prvků - ta...'!P148</f>
        <v>14173.467876999997</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836" t="s">
        <v>3228</v>
      </c>
      <c r="E98" s="5836"/>
      <c r="F98" s="5836"/>
      <c r="G98" s="5836"/>
      <c r="H98" s="5836"/>
      <c r="I98" s="2120"/>
      <c r="J98" s="5836" t="s">
        <v>3229</v>
      </c>
      <c r="K98" s="5836"/>
      <c r="L98" s="5836"/>
      <c r="M98" s="5836"/>
      <c r="N98" s="5836"/>
      <c r="O98" s="5836"/>
      <c r="P98" s="5836"/>
      <c r="Q98" s="5836"/>
      <c r="R98" s="5836"/>
      <c r="S98" s="5836"/>
      <c r="T98" s="5836"/>
      <c r="U98" s="5836"/>
      <c r="V98" s="5836"/>
      <c r="W98" s="5836"/>
      <c r="X98" s="5836"/>
      <c r="Y98" s="5836"/>
      <c r="Z98" s="5836"/>
      <c r="AA98" s="5836"/>
      <c r="AB98" s="5836"/>
      <c r="AC98" s="5836"/>
      <c r="AD98" s="5836"/>
      <c r="AE98" s="5836"/>
      <c r="AF98" s="5836"/>
      <c r="AG98" s="5837">
        <f>'01.3 - Gabionové stěny'!J32</f>
        <v>0</v>
      </c>
      <c r="AH98" s="5838"/>
      <c r="AI98" s="5838"/>
      <c r="AJ98" s="5838"/>
      <c r="AK98" s="5838"/>
      <c r="AL98" s="5838"/>
      <c r="AM98" s="5838"/>
      <c r="AN98" s="5839">
        <f t="shared" si="0"/>
        <v>0</v>
      </c>
      <c r="AO98" s="5840"/>
      <c r="AP98" s="5840"/>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836" t="s">
        <v>3231</v>
      </c>
      <c r="E99" s="5836"/>
      <c r="F99" s="5836"/>
      <c r="G99" s="5836"/>
      <c r="H99" s="5836"/>
      <c r="I99" s="2120"/>
      <c r="J99" s="5836" t="s">
        <v>3232</v>
      </c>
      <c r="K99" s="5836"/>
      <c r="L99" s="5836"/>
      <c r="M99" s="5836"/>
      <c r="N99" s="5836"/>
      <c r="O99" s="5836"/>
      <c r="P99" s="5836"/>
      <c r="Q99" s="5836"/>
      <c r="R99" s="5836"/>
      <c r="S99" s="5836"/>
      <c r="T99" s="5836"/>
      <c r="U99" s="5836"/>
      <c r="V99" s="5836"/>
      <c r="W99" s="5836"/>
      <c r="X99" s="5836"/>
      <c r="Y99" s="5836"/>
      <c r="Z99" s="5836"/>
      <c r="AA99" s="5836"/>
      <c r="AB99" s="5836"/>
      <c r="AC99" s="5836"/>
      <c r="AD99" s="5836"/>
      <c r="AE99" s="5836"/>
      <c r="AF99" s="5836"/>
      <c r="AG99" s="5837">
        <f>'01.4 - Opěrná stěna schod...'!J32</f>
        <v>0</v>
      </c>
      <c r="AH99" s="5838"/>
      <c r="AI99" s="5838"/>
      <c r="AJ99" s="5838"/>
      <c r="AK99" s="5838"/>
      <c r="AL99" s="5838"/>
      <c r="AM99" s="5838"/>
      <c r="AN99" s="5839">
        <f t="shared" si="0"/>
        <v>0</v>
      </c>
      <c r="AO99" s="5840"/>
      <c r="AP99" s="5840"/>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836" t="s">
        <v>10709</v>
      </c>
      <c r="E100" s="5836"/>
      <c r="F100" s="5836"/>
      <c r="G100" s="5836"/>
      <c r="H100" s="5836"/>
      <c r="I100" s="2120"/>
      <c r="J100" s="5836" t="s">
        <v>10710</v>
      </c>
      <c r="K100" s="5836"/>
      <c r="L100" s="5836"/>
      <c r="M100" s="5836"/>
      <c r="N100" s="5836"/>
      <c r="O100" s="5836"/>
      <c r="P100" s="5836"/>
      <c r="Q100" s="5836"/>
      <c r="R100" s="5836"/>
      <c r="S100" s="5836"/>
      <c r="T100" s="5836"/>
      <c r="U100" s="5836"/>
      <c r="V100" s="5836"/>
      <c r="W100" s="5836"/>
      <c r="X100" s="5836"/>
      <c r="Y100" s="5836"/>
      <c r="Z100" s="5836"/>
      <c r="AA100" s="5836"/>
      <c r="AB100" s="5836"/>
      <c r="AC100" s="5836"/>
      <c r="AD100" s="5836"/>
      <c r="AE100" s="5836"/>
      <c r="AF100" s="5836"/>
      <c r="AG100" s="5837">
        <f>'01.5 - Náklady souvisejíc...'!J32</f>
        <v>0</v>
      </c>
      <c r="AH100" s="5838"/>
      <c r="AI100" s="5838"/>
      <c r="AJ100" s="5838"/>
      <c r="AK100" s="5838"/>
      <c r="AL100" s="5838"/>
      <c r="AM100" s="5838"/>
      <c r="AN100" s="5839">
        <f t="shared" si="0"/>
        <v>0</v>
      </c>
      <c r="AO100" s="5840"/>
      <c r="AP100" s="5840"/>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10711</v>
      </c>
      <c r="BX100" s="2127" t="s">
        <v>3149</v>
      </c>
      <c r="CL100" s="2127" t="s">
        <v>3146</v>
      </c>
      <c r="CM100" s="2127" t="s">
        <v>133</v>
      </c>
    </row>
    <row r="101" spans="1:91">
      <c r="B101" s="2059"/>
      <c r="AR101" s="2059"/>
    </row>
    <row r="102" spans="1:91" s="2070" customFormat="1" ht="30" customHeight="1">
      <c r="B102" s="2071"/>
      <c r="C102" s="2107" t="s">
        <v>3234</v>
      </c>
      <c r="AG102" s="5834">
        <v>0</v>
      </c>
      <c r="AH102" s="5834"/>
      <c r="AI102" s="5834"/>
      <c r="AJ102" s="5834"/>
      <c r="AK102" s="5834"/>
      <c r="AL102" s="5834"/>
      <c r="AM102" s="5834"/>
      <c r="AN102" s="5834">
        <v>0</v>
      </c>
      <c r="AO102" s="5834"/>
      <c r="AP102" s="5834"/>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835">
        <f>ROUND(AG94 + AG102, 2)</f>
        <v>0</v>
      </c>
      <c r="AH104" s="5835"/>
      <c r="AI104" s="5835"/>
      <c r="AJ104" s="5835"/>
      <c r="AK104" s="5835"/>
      <c r="AL104" s="5835"/>
      <c r="AM104" s="5835"/>
      <c r="AN104" s="5835">
        <f>ROUND(AN94 + AN102, 2)</f>
        <v>0</v>
      </c>
      <c r="AO104" s="5835"/>
      <c r="AP104" s="5835"/>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202"/>
  <sheetViews>
    <sheetView showGridLines="0" zoomScaleNormal="100" workbookViewId="0"/>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11.1640625" style="2055" customWidth="1"/>
    <col min="13" max="13" width="1.6640625" style="2055"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869" t="s">
        <v>10708</v>
      </c>
      <c r="M2" s="5870"/>
      <c r="N2" s="5870"/>
      <c r="O2" s="5870"/>
      <c r="P2" s="5870"/>
      <c r="Q2" s="5870"/>
      <c r="R2" s="5870"/>
      <c r="S2" s="5870"/>
      <c r="T2" s="5870"/>
      <c r="U2" s="5870"/>
      <c r="V2" s="5870"/>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878" t="str">
        <f>'Rekapitulace stavby'!K6</f>
        <v>Dostavba domova pro seniory ve Vrchlabí - PD</v>
      </c>
      <c r="F7" s="5879"/>
      <c r="G7" s="5879"/>
      <c r="H7" s="5879"/>
      <c r="L7" s="2059"/>
    </row>
    <row r="8" spans="2:46" s="2070" customFormat="1" ht="12" customHeight="1">
      <c r="B8" s="2071"/>
      <c r="D8" s="2065" t="s">
        <v>3239</v>
      </c>
      <c r="L8" s="2071"/>
    </row>
    <row r="9" spans="2:46" s="2070" customFormat="1" ht="16.5" customHeight="1">
      <c r="B9" s="2071"/>
      <c r="E9" s="5862" t="s">
        <v>3240</v>
      </c>
      <c r="F9" s="5880"/>
      <c r="G9" s="5880"/>
      <c r="H9" s="588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73" t="s">
        <v>3146</v>
      </c>
      <c r="F27" s="5873"/>
      <c r="G27" s="5873"/>
      <c r="H27" s="587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SUM(BE147:BE1201)),  2)</f>
        <v>0</v>
      </c>
      <c r="I35" s="2141">
        <v>0.21</v>
      </c>
      <c r="J35" s="2140">
        <f>ROUND(((SUM(BE122:BE127) + SUM(BE147:BE1201))*I35),  2)</f>
        <v>0</v>
      </c>
      <c r="L35" s="2071"/>
    </row>
    <row r="36" spans="2:12" s="2070" customFormat="1" ht="14.45" customHeight="1">
      <c r="B36" s="2071"/>
      <c r="E36" s="2065" t="s">
        <v>3181</v>
      </c>
      <c r="F36" s="2140">
        <f>ROUND((SUM(BF122:BF127) + SUM(BF147:BF1201)),  2)</f>
        <v>0</v>
      </c>
      <c r="I36" s="2141">
        <v>0.15</v>
      </c>
      <c r="J36" s="2140">
        <f>ROUND(((SUM(BF122:BF127) + SUM(BF147:BF1201))*I36),  2)</f>
        <v>0</v>
      </c>
      <c r="L36" s="2071"/>
    </row>
    <row r="37" spans="2:12" s="2070" customFormat="1" ht="14.45" hidden="1" customHeight="1">
      <c r="B37" s="2071"/>
      <c r="E37" s="2065" t="s">
        <v>3182</v>
      </c>
      <c r="F37" s="2140">
        <f>ROUND((SUM(BG122:BG127) + SUM(BG147:BG1201)),  2)</f>
        <v>0</v>
      </c>
      <c r="I37" s="2141">
        <v>0.21</v>
      </c>
      <c r="J37" s="2140">
        <f>0</f>
        <v>0</v>
      </c>
      <c r="L37" s="2071"/>
    </row>
    <row r="38" spans="2:12" s="2070" customFormat="1" ht="14.45" hidden="1" customHeight="1">
      <c r="B38" s="2071"/>
      <c r="E38" s="2065" t="s">
        <v>3183</v>
      </c>
      <c r="F38" s="2140">
        <f>ROUND((SUM(BH122:BH127) + SUM(BH147:BH1201)),  2)</f>
        <v>0</v>
      </c>
      <c r="I38" s="2141">
        <v>0.15</v>
      </c>
      <c r="J38" s="2140">
        <f>0</f>
        <v>0</v>
      </c>
      <c r="L38" s="2071"/>
    </row>
    <row r="39" spans="2:12" s="2070" customFormat="1" ht="14.45" hidden="1" customHeight="1">
      <c r="B39" s="2071"/>
      <c r="E39" s="2065" t="s">
        <v>3184</v>
      </c>
      <c r="F39" s="2140">
        <f>ROUND((SUM(BI122:BI127) + SUM(BI147:BI1201)),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878" t="str">
        <f>E7</f>
        <v>Dostavba domova pro seniory ve Vrchlabí - PD</v>
      </c>
      <c r="F85" s="5879"/>
      <c r="G85" s="5879"/>
      <c r="H85" s="5879"/>
      <c r="L85" s="2071"/>
    </row>
    <row r="86" spans="2:47" s="2070" customFormat="1" ht="12" customHeight="1">
      <c r="B86" s="2071"/>
      <c r="C86" s="2065" t="s">
        <v>3239</v>
      </c>
      <c r="L86" s="2071"/>
    </row>
    <row r="87" spans="2:47" s="2070" customFormat="1" ht="16.5" customHeight="1">
      <c r="B87" s="2071"/>
      <c r="E87" s="5862" t="str">
        <f>E9</f>
        <v>01 - Novostavba</v>
      </c>
      <c r="F87" s="5880"/>
      <c r="G87" s="5880"/>
      <c r="H87" s="588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J375</f>
        <v>0</v>
      </c>
      <c r="L100" s="2158"/>
    </row>
    <row r="101" spans="2:12" s="2157" customFormat="1" ht="19.899999999999999" customHeight="1">
      <c r="B101" s="2158"/>
      <c r="D101" s="2159" t="s">
        <v>3252</v>
      </c>
      <c r="E101" s="2160"/>
      <c r="F101" s="2160"/>
      <c r="G101" s="2160"/>
      <c r="H101" s="2160"/>
      <c r="I101" s="2160"/>
      <c r="J101" s="2161">
        <f>J449</f>
        <v>0</v>
      </c>
      <c r="L101" s="2158"/>
    </row>
    <row r="102" spans="2:12" s="2157" customFormat="1" ht="19.899999999999999" customHeight="1">
      <c r="B102" s="2158"/>
      <c r="D102" s="2159" t="s">
        <v>3253</v>
      </c>
      <c r="E102" s="2160"/>
      <c r="F102" s="2160"/>
      <c r="G102" s="2160"/>
      <c r="H102" s="2160"/>
      <c r="I102" s="2160"/>
      <c r="J102" s="2161">
        <f>J532</f>
        <v>0</v>
      </c>
      <c r="L102" s="2158"/>
    </row>
    <row r="103" spans="2:12" s="2157" customFormat="1" ht="19.899999999999999" customHeight="1">
      <c r="B103" s="2158"/>
      <c r="D103" s="2159" t="s">
        <v>3254</v>
      </c>
      <c r="E103" s="2160"/>
      <c r="F103" s="2160"/>
      <c r="G103" s="2160"/>
      <c r="H103" s="2160"/>
      <c r="I103" s="2160"/>
      <c r="J103" s="2161">
        <f>J685</f>
        <v>0</v>
      </c>
      <c r="L103" s="2158"/>
    </row>
    <row r="104" spans="2:12" s="2157" customFormat="1" ht="19.899999999999999" customHeight="1">
      <c r="B104" s="2158"/>
      <c r="D104" s="2159" t="s">
        <v>3255</v>
      </c>
      <c r="E104" s="2160"/>
      <c r="F104" s="2160"/>
      <c r="G104" s="2160"/>
      <c r="H104" s="2160"/>
      <c r="I104" s="2160"/>
      <c r="J104" s="2161">
        <f>J728</f>
        <v>0</v>
      </c>
      <c r="L104" s="2158"/>
    </row>
    <row r="105" spans="2:12" s="2157" customFormat="1" ht="19.899999999999999" customHeight="1">
      <c r="B105" s="2158"/>
      <c r="D105" s="2159" t="s">
        <v>3256</v>
      </c>
      <c r="E105" s="2160"/>
      <c r="F105" s="2160"/>
      <c r="G105" s="2160"/>
      <c r="H105" s="2160"/>
      <c r="I105" s="2160"/>
      <c r="J105" s="2161">
        <f>J736</f>
        <v>0</v>
      </c>
      <c r="L105" s="2158"/>
    </row>
    <row r="106" spans="2:12" s="2152" customFormat="1" ht="24.95" customHeight="1">
      <c r="B106" s="2153"/>
      <c r="D106" s="2154" t="s">
        <v>3257</v>
      </c>
      <c r="E106" s="2155"/>
      <c r="F106" s="2155"/>
      <c r="G106" s="2155"/>
      <c r="H106" s="2155"/>
      <c r="I106" s="2155"/>
      <c r="J106" s="2156">
        <f>J743</f>
        <v>0</v>
      </c>
      <c r="L106" s="2153"/>
    </row>
    <row r="107" spans="2:12" s="2157" customFormat="1" ht="19.899999999999999" customHeight="1">
      <c r="B107" s="2158"/>
      <c r="D107" s="2159" t="s">
        <v>3258</v>
      </c>
      <c r="E107" s="2160"/>
      <c r="F107" s="2160"/>
      <c r="G107" s="2160"/>
      <c r="H107" s="2160"/>
      <c r="I107" s="2160"/>
      <c r="J107" s="2161">
        <f>J744</f>
        <v>0</v>
      </c>
      <c r="L107" s="2158"/>
    </row>
    <row r="108" spans="2:12" s="2157" customFormat="1" ht="19.899999999999999" customHeight="1">
      <c r="B108" s="2158"/>
      <c r="D108" s="2159" t="s">
        <v>4287</v>
      </c>
      <c r="E108" s="2160"/>
      <c r="F108" s="2160"/>
      <c r="G108" s="2160"/>
      <c r="H108" s="2160"/>
      <c r="I108" s="2160"/>
      <c r="J108" s="2161">
        <f>J777</f>
        <v>0</v>
      </c>
      <c r="L108" s="2158"/>
    </row>
    <row r="109" spans="2:12" s="2157" customFormat="1" ht="19.899999999999999" customHeight="1">
      <c r="B109" s="2158"/>
      <c r="D109" s="2159" t="s">
        <v>3259</v>
      </c>
      <c r="E109" s="2160"/>
      <c r="F109" s="2160"/>
      <c r="G109" s="2160"/>
      <c r="H109" s="2160"/>
      <c r="I109" s="2160"/>
      <c r="J109" s="2161">
        <f>J894</f>
        <v>0</v>
      </c>
      <c r="L109" s="2158"/>
    </row>
    <row r="110" spans="2:12" s="2157" customFormat="1" ht="19.899999999999999" customHeight="1">
      <c r="B110" s="2158"/>
      <c r="D110" s="2159" t="s">
        <v>3260</v>
      </c>
      <c r="E110" s="2160"/>
      <c r="F110" s="2160"/>
      <c r="G110" s="2160"/>
      <c r="H110" s="2160"/>
      <c r="I110" s="2160"/>
      <c r="J110" s="2161">
        <f>J985</f>
        <v>0</v>
      </c>
      <c r="L110" s="2158"/>
    </row>
    <row r="111" spans="2:12" s="2157" customFormat="1" ht="19.899999999999999" customHeight="1">
      <c r="B111" s="2158"/>
      <c r="D111" s="2159" t="s">
        <v>3261</v>
      </c>
      <c r="E111" s="2160"/>
      <c r="F111" s="2160"/>
      <c r="G111" s="2160"/>
      <c r="H111" s="2160"/>
      <c r="I111" s="2160"/>
      <c r="J111" s="2161">
        <f>J1076</f>
        <v>0</v>
      </c>
      <c r="L111" s="2158"/>
    </row>
    <row r="112" spans="2:12" s="2157" customFormat="1" ht="19.899999999999999" customHeight="1">
      <c r="B112" s="2158"/>
      <c r="D112" s="2159" t="s">
        <v>3262</v>
      </c>
      <c r="E112" s="2160"/>
      <c r="F112" s="2160"/>
      <c r="G112" s="2160"/>
      <c r="H112" s="2160"/>
      <c r="I112" s="2160"/>
      <c r="J112" s="2161">
        <f>J1084</f>
        <v>0</v>
      </c>
      <c r="L112" s="2158"/>
    </row>
    <row r="113" spans="2:65" s="2157" customFormat="1" ht="19.899999999999999" customHeight="1">
      <c r="B113" s="2158"/>
      <c r="D113" s="2159" t="s">
        <v>3263</v>
      </c>
      <c r="E113" s="2160"/>
      <c r="F113" s="2160"/>
      <c r="G113" s="2160"/>
      <c r="H113" s="2160"/>
      <c r="I113" s="2160"/>
      <c r="J113" s="2161">
        <f>J1095</f>
        <v>0</v>
      </c>
      <c r="L113" s="2158"/>
    </row>
    <row r="114" spans="2:65" s="2157" customFormat="1" ht="19.899999999999999" customHeight="1">
      <c r="B114" s="2158"/>
      <c r="D114" s="2159" t="s">
        <v>3264</v>
      </c>
      <c r="E114" s="2160"/>
      <c r="F114" s="2160"/>
      <c r="G114" s="2160"/>
      <c r="H114" s="2160"/>
      <c r="I114" s="2160"/>
      <c r="J114" s="2161">
        <f>J1124</f>
        <v>0</v>
      </c>
      <c r="L114" s="2158"/>
    </row>
    <row r="115" spans="2:65" s="2157" customFormat="1" ht="19.899999999999999" customHeight="1">
      <c r="B115" s="2158"/>
      <c r="D115" s="2159" t="s">
        <v>3265</v>
      </c>
      <c r="E115" s="2160"/>
      <c r="F115" s="2160"/>
      <c r="G115" s="2160"/>
      <c r="H115" s="2160"/>
      <c r="I115" s="2160"/>
      <c r="J115" s="2161">
        <f>J1139</f>
        <v>0</v>
      </c>
      <c r="L115" s="2158"/>
    </row>
    <row r="116" spans="2:65" s="2157" customFormat="1" ht="19.899999999999999" customHeight="1">
      <c r="B116" s="2158"/>
      <c r="D116" s="2159" t="s">
        <v>3266</v>
      </c>
      <c r="E116" s="2160"/>
      <c r="F116" s="2160"/>
      <c r="G116" s="2160"/>
      <c r="H116" s="2160"/>
      <c r="I116" s="2160"/>
      <c r="J116" s="2161">
        <f>J1158</f>
        <v>0</v>
      </c>
      <c r="L116" s="2158"/>
    </row>
    <row r="117" spans="2:65" s="2152" customFormat="1" ht="24.95" customHeight="1">
      <c r="B117" s="2153"/>
      <c r="D117" s="2154" t="s">
        <v>3267</v>
      </c>
      <c r="E117" s="2155"/>
      <c r="F117" s="2155"/>
      <c r="G117" s="2155"/>
      <c r="H117" s="2155"/>
      <c r="I117" s="2155"/>
      <c r="J117" s="2156">
        <f>J1178</f>
        <v>0</v>
      </c>
      <c r="L117" s="2153"/>
    </row>
    <row r="118" spans="2:65" s="2152" customFormat="1" ht="24.95" customHeight="1">
      <c r="B118" s="2153"/>
      <c r="D118" s="2154" t="s">
        <v>3268</v>
      </c>
      <c r="E118" s="2155"/>
      <c r="F118" s="2155"/>
      <c r="G118" s="2155"/>
      <c r="H118" s="2155"/>
      <c r="I118" s="2155"/>
      <c r="J118" s="2156">
        <f>J1185</f>
        <v>0</v>
      </c>
      <c r="L118" s="2153"/>
    </row>
    <row r="119" spans="2:65" s="2152" customFormat="1" ht="24.95" customHeight="1">
      <c r="B119" s="2153"/>
      <c r="D119" s="2154" t="s">
        <v>3269</v>
      </c>
      <c r="E119" s="2155"/>
      <c r="F119" s="2155"/>
      <c r="G119" s="2155"/>
      <c r="H119" s="2155"/>
      <c r="I119" s="2155"/>
      <c r="J119" s="2156">
        <f>J1199</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881" t="s">
        <v>24</v>
      </c>
      <c r="E123" s="5881"/>
      <c r="F123" s="5881"/>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881" t="s">
        <v>25</v>
      </c>
      <c r="E124" s="5881"/>
      <c r="F124" s="5881"/>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881" t="s">
        <v>3272</v>
      </c>
      <c r="E125" s="5881"/>
      <c r="F125" s="5881"/>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878" t="str">
        <f>E7</f>
        <v>Dostavba domova pro seniory ve Vrchlabí - PD</v>
      </c>
      <c r="F137" s="5879"/>
      <c r="G137" s="5879"/>
      <c r="H137" s="5879"/>
      <c r="L137" s="2071"/>
    </row>
    <row r="138" spans="2:12" s="2070" customFormat="1" ht="12" customHeight="1">
      <c r="B138" s="2071"/>
      <c r="C138" s="2065" t="s">
        <v>3239</v>
      </c>
      <c r="L138" s="2071"/>
    </row>
    <row r="139" spans="2:12" s="2070" customFormat="1" ht="16.5" customHeight="1">
      <c r="B139" s="2071"/>
      <c r="E139" s="5862" t="str">
        <f>E9</f>
        <v>01 - Novostavba</v>
      </c>
      <c r="F139" s="5880"/>
      <c r="G139" s="5880"/>
      <c r="H139" s="5880"/>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SUM(J148+J743)</f>
        <v>0</v>
      </c>
      <c r="L147" s="2071"/>
      <c r="M147" s="2104"/>
      <c r="N147" s="2095"/>
      <c r="O147" s="2095"/>
      <c r="P147" s="2175" t="e">
        <f>P148+P743+P1178+P1185+P1199</f>
        <v>#REF!</v>
      </c>
      <c r="Q147" s="2095"/>
      <c r="R147" s="2175" t="e">
        <f>R148+R743+R1178+R1185+R1199</f>
        <v>#REF!</v>
      </c>
      <c r="S147" s="2095"/>
      <c r="T147" s="2176" t="e">
        <f>T148+T743+T1178+T1185+T1199</f>
        <v>#REF!</v>
      </c>
      <c r="AT147" s="2056" t="s">
        <v>3212</v>
      </c>
      <c r="AU147" s="2056" t="s">
        <v>3247</v>
      </c>
      <c r="BK147" s="2177">
        <f>BK148+BK743+BK1178+BK1185+BK1199</f>
        <v>0</v>
      </c>
    </row>
    <row r="148" spans="2:65" s="2178" customFormat="1" ht="25.9" customHeight="1">
      <c r="B148" s="2179"/>
      <c r="D148" s="2180" t="s">
        <v>3212</v>
      </c>
      <c r="E148" s="2181" t="s">
        <v>847</v>
      </c>
      <c r="F148" s="2181" t="s">
        <v>848</v>
      </c>
      <c r="J148" s="2182">
        <f>SUM(J149+J219+J375+J449+J532+J685+J736)</f>
        <v>0</v>
      </c>
      <c r="L148" s="2179"/>
      <c r="M148" s="2183"/>
      <c r="P148" s="2184">
        <f>P149+P219+P375+P449+P532+P685+P728+P736</f>
        <v>57364.504893766352</v>
      </c>
      <c r="R148" s="2184">
        <f>R149+R219+R375+R449+R532+R685+R728+R736</f>
        <v>8717.6378066158504</v>
      </c>
      <c r="T148" s="2185">
        <f>T149+T219+T375+T449+T532+T685+T728+T736</f>
        <v>436.51499999999999</v>
      </c>
      <c r="AR148" s="2180" t="s">
        <v>133</v>
      </c>
      <c r="AT148" s="2186" t="s">
        <v>3212</v>
      </c>
      <c r="AU148" s="2186" t="s">
        <v>3213</v>
      </c>
      <c r="AY148" s="2180" t="s">
        <v>3285</v>
      </c>
      <c r="BK148" s="2187">
        <f>BK149+BK219+BK375+BK449+BK532+BK685+BK728+BK736</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10712</v>
      </c>
    </row>
    <row r="151" spans="2:65" s="2195" customFormat="1">
      <c r="B151" s="2196"/>
      <c r="D151" s="2197" t="s">
        <v>3303</v>
      </c>
      <c r="E151" s="2198" t="s">
        <v>3146</v>
      </c>
      <c r="F151" s="2199" t="s">
        <v>10713</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4201</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10714</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10715</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10716</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11649</v>
      </c>
      <c r="F159" s="5566" t="s">
        <v>11650</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11685</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11651</v>
      </c>
      <c r="F164" s="5566" t="s">
        <v>11652</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11685</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10717</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11686</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874" t="s">
        <v>11555</v>
      </c>
      <c r="J177" s="5875"/>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11687</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11646</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11647</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11648</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10718</v>
      </c>
      <c r="F196" s="4610" t="s">
        <v>10719</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11688</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876" t="s">
        <v>11555</v>
      </c>
      <c r="J199" s="5877"/>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874" t="s">
        <v>11555</v>
      </c>
      <c r="J202" s="5875"/>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SUM(P220:P374)</f>
        <v>3205.9779993000006</v>
      </c>
      <c r="R219" s="2184">
        <f>SUM(R220:R374)</f>
        <v>3008.2747879498497</v>
      </c>
      <c r="T219" s="2185">
        <f>SUM(T220:T374)</f>
        <v>17.069999999999997</v>
      </c>
      <c r="AR219" s="2180" t="s">
        <v>133</v>
      </c>
      <c r="AT219" s="2186" t="s">
        <v>3212</v>
      </c>
      <c r="AU219" s="2186" t="s">
        <v>133</v>
      </c>
      <c r="AY219" s="2180" t="s">
        <v>3285</v>
      </c>
      <c r="BK219" s="2187">
        <f>SUM(BK220:BK374)</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5874" t="s">
        <v>11555</v>
      </c>
      <c r="J237" s="5875"/>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v>0</v>
      </c>
      <c r="BL237" s="2056" t="s">
        <v>856</v>
      </c>
      <c r="BM237" s="2193" t="s">
        <v>3402</v>
      </c>
    </row>
    <row r="238" spans="2:65" s="2209" customFormat="1">
      <c r="B238" s="2210"/>
      <c r="D238" s="2197" t="s">
        <v>3303</v>
      </c>
      <c r="E238" s="2211" t="s">
        <v>3146</v>
      </c>
      <c r="F238" s="5560" t="s">
        <v>11629</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11630</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5561" t="s">
        <v>2152</v>
      </c>
      <c r="D241" s="4608" t="s">
        <v>3286</v>
      </c>
      <c r="E241" s="4609" t="s">
        <v>3403</v>
      </c>
      <c r="F241" s="4610" t="s">
        <v>3404</v>
      </c>
      <c r="G241" s="4611" t="s">
        <v>141</v>
      </c>
      <c r="H241" s="5568">
        <f>H248</f>
        <v>650.5</v>
      </c>
      <c r="I241" s="4613"/>
      <c r="J241" s="4613">
        <f>ROUND(I241*H241,2)</f>
        <v>0</v>
      </c>
      <c r="K241" s="4610" t="s">
        <v>142</v>
      </c>
      <c r="L241" s="2071"/>
      <c r="M241" s="2190" t="s">
        <v>3146</v>
      </c>
      <c r="N241" s="2163" t="s">
        <v>3181</v>
      </c>
      <c r="O241" s="2191">
        <v>0.48399999999999999</v>
      </c>
      <c r="P241" s="2191">
        <f>O241*H241</f>
        <v>314.84199999999998</v>
      </c>
      <c r="Q241" s="2191">
        <v>2.0000000000000001E-4</v>
      </c>
      <c r="R241" s="2191">
        <f>Q241*H241</f>
        <v>0.13009999999999999</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5560" t="s">
        <v>11773</v>
      </c>
      <c r="G242" s="5574"/>
      <c r="H242" s="5569">
        <f>15*6.5</f>
        <v>97.5</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3406</v>
      </c>
      <c r="H243" s="2213">
        <v>288</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3407</v>
      </c>
      <c r="H244" s="2213">
        <v>162</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3408</v>
      </c>
      <c r="H245" s="2213">
        <v>54.6</v>
      </c>
      <c r="L245" s="2210"/>
      <c r="M245" s="2214"/>
      <c r="T245" s="2215"/>
      <c r="AT245" s="2211" t="s">
        <v>3303</v>
      </c>
      <c r="AU245" s="2211" t="s">
        <v>134</v>
      </c>
      <c r="AV245" s="2209" t="s">
        <v>134</v>
      </c>
      <c r="AW245" s="2209" t="s">
        <v>3171</v>
      </c>
      <c r="AX245" s="2209" t="s">
        <v>3213</v>
      </c>
      <c r="AY245" s="2211" t="s">
        <v>3285</v>
      </c>
    </row>
    <row r="246" spans="2:65" s="2209" customFormat="1">
      <c r="B246" s="2210"/>
      <c r="D246" s="2197" t="s">
        <v>3303</v>
      </c>
      <c r="E246" s="2211" t="s">
        <v>3146</v>
      </c>
      <c r="F246" s="2212" t="s">
        <v>3409</v>
      </c>
      <c r="H246" s="2213">
        <v>16.8</v>
      </c>
      <c r="L246" s="2210"/>
      <c r="M246" s="2214"/>
      <c r="T246" s="2215"/>
      <c r="AT246" s="2211" t="s">
        <v>3303</v>
      </c>
      <c r="AU246" s="2211" t="s">
        <v>134</v>
      </c>
      <c r="AV246" s="2209" t="s">
        <v>134</v>
      </c>
      <c r="AW246" s="2209" t="s">
        <v>3171</v>
      </c>
      <c r="AX246" s="2209" t="s">
        <v>3213</v>
      </c>
      <c r="AY246" s="2211" t="s">
        <v>3285</v>
      </c>
    </row>
    <row r="247" spans="2:65" s="2209" customFormat="1">
      <c r="B247" s="2210"/>
      <c r="D247" s="2197" t="s">
        <v>3303</v>
      </c>
      <c r="E247" s="2211" t="s">
        <v>3146</v>
      </c>
      <c r="F247" s="5560" t="s">
        <v>11774</v>
      </c>
      <c r="G247" s="5574"/>
      <c r="H247" s="5569">
        <f>4*7.9</f>
        <v>31.6</v>
      </c>
      <c r="L247" s="2210"/>
      <c r="M247" s="2214"/>
      <c r="T247" s="2215"/>
      <c r="AT247" s="2211" t="s">
        <v>3303</v>
      </c>
      <c r="AU247" s="2211" t="s">
        <v>134</v>
      </c>
      <c r="AV247" s="2209" t="s">
        <v>134</v>
      </c>
      <c r="AW247" s="2209" t="s">
        <v>3171</v>
      </c>
      <c r="AX247" s="2209" t="s">
        <v>3213</v>
      </c>
      <c r="AY247" s="2211" t="s">
        <v>3285</v>
      </c>
    </row>
    <row r="248" spans="2:65" s="2216" customFormat="1">
      <c r="B248" s="2217"/>
      <c r="D248" s="2197" t="s">
        <v>3303</v>
      </c>
      <c r="E248" s="2218" t="s">
        <v>3146</v>
      </c>
      <c r="F248" s="2219" t="s">
        <v>3306</v>
      </c>
      <c r="H248" s="5569">
        <f>SUM(H242:H247)</f>
        <v>650.5</v>
      </c>
      <c r="L248" s="2217"/>
      <c r="M248" s="2221"/>
      <c r="T248" s="2222"/>
      <c r="AT248" s="2218" t="s">
        <v>3303</v>
      </c>
      <c r="AU248" s="2218" t="s">
        <v>134</v>
      </c>
      <c r="AV248" s="2216" t="s">
        <v>856</v>
      </c>
      <c r="AW248" s="2216" t="s">
        <v>3171</v>
      </c>
      <c r="AX248" s="2216" t="s">
        <v>133</v>
      </c>
      <c r="AY248" s="2218" t="s">
        <v>3285</v>
      </c>
    </row>
    <row r="249" spans="2:65" s="2070" customFormat="1" ht="37.9" customHeight="1">
      <c r="B249" s="2164"/>
      <c r="C249" s="5561" t="s">
        <v>2569</v>
      </c>
      <c r="D249" s="4608" t="s">
        <v>3286</v>
      </c>
      <c r="E249" s="4609" t="s">
        <v>3410</v>
      </c>
      <c r="F249" s="4610" t="s">
        <v>3411</v>
      </c>
      <c r="G249" s="4611" t="s">
        <v>141</v>
      </c>
      <c r="H249" s="5568">
        <v>148.1</v>
      </c>
      <c r="I249" s="5874" t="s">
        <v>11555</v>
      </c>
      <c r="J249" s="5875"/>
      <c r="K249" s="4610" t="s">
        <v>142</v>
      </c>
      <c r="L249" s="2071"/>
      <c r="M249" s="2190" t="s">
        <v>3146</v>
      </c>
      <c r="N249" s="2163" t="s">
        <v>3181</v>
      </c>
      <c r="O249" s="2191">
        <v>0.27500000000000002</v>
      </c>
      <c r="P249" s="2191">
        <f>O249*H249</f>
        <v>40.727499999999999</v>
      </c>
      <c r="Q249" s="2191">
        <v>0</v>
      </c>
      <c r="R249" s="2191">
        <f>Q249*H249</f>
        <v>0</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v>0</v>
      </c>
      <c r="BL249" s="2056" t="s">
        <v>856</v>
      </c>
      <c r="BM249" s="2193" t="s">
        <v>3412</v>
      </c>
    </row>
    <row r="250" spans="2:65" s="2209" customFormat="1">
      <c r="B250" s="2210"/>
      <c r="D250" s="2197" t="s">
        <v>3303</v>
      </c>
      <c r="E250" s="2211" t="s">
        <v>3146</v>
      </c>
      <c r="F250" s="5560" t="s">
        <v>11629</v>
      </c>
      <c r="G250" s="5574"/>
      <c r="H250" s="5569">
        <v>112.5</v>
      </c>
      <c r="L250" s="2210"/>
      <c r="M250" s="2214"/>
      <c r="T250" s="2215"/>
      <c r="AT250" s="2211" t="s">
        <v>3303</v>
      </c>
      <c r="AU250" s="2211" t="s">
        <v>134</v>
      </c>
      <c r="AV250" s="2209" t="s">
        <v>134</v>
      </c>
      <c r="AW250" s="2209" t="s">
        <v>3171</v>
      </c>
      <c r="AX250" s="2209" t="s">
        <v>3213</v>
      </c>
      <c r="AY250" s="2211" t="s">
        <v>3285</v>
      </c>
    </row>
    <row r="251" spans="2:65" s="2209" customFormat="1">
      <c r="B251" s="2210"/>
      <c r="D251" s="2197" t="s">
        <v>3303</v>
      </c>
      <c r="E251" s="2211" t="s">
        <v>3146</v>
      </c>
      <c r="F251" s="5560" t="s">
        <v>11630</v>
      </c>
      <c r="H251" s="5569">
        <v>35.6</v>
      </c>
      <c r="L251" s="2210"/>
      <c r="M251" s="2214"/>
      <c r="T251" s="2215"/>
      <c r="AT251" s="2211" t="s">
        <v>3303</v>
      </c>
      <c r="AU251" s="2211" t="s">
        <v>134</v>
      </c>
      <c r="AV251" s="2209" t="s">
        <v>134</v>
      </c>
      <c r="AW251" s="2209" t="s">
        <v>3171</v>
      </c>
      <c r="AX251" s="2209" t="s">
        <v>3213</v>
      </c>
      <c r="AY251" s="2211" t="s">
        <v>3285</v>
      </c>
    </row>
    <row r="252" spans="2:65" s="2216" customFormat="1">
      <c r="B252" s="2217"/>
      <c r="D252" s="2197" t="s">
        <v>3303</v>
      </c>
      <c r="E252" s="2218" t="s">
        <v>3146</v>
      </c>
      <c r="F252" s="2219" t="s">
        <v>3306</v>
      </c>
      <c r="H252" s="2220">
        <v>148.1</v>
      </c>
      <c r="L252" s="2217"/>
      <c r="M252" s="2221"/>
      <c r="T252" s="2222"/>
      <c r="AT252" s="2218" t="s">
        <v>3303</v>
      </c>
      <c r="AU252" s="2218" t="s">
        <v>134</v>
      </c>
      <c r="AV252" s="2216" t="s">
        <v>856</v>
      </c>
      <c r="AW252" s="2216" t="s">
        <v>3171</v>
      </c>
      <c r="AX252" s="2216" t="s">
        <v>133</v>
      </c>
      <c r="AY252" s="2218" t="s">
        <v>3285</v>
      </c>
    </row>
    <row r="253" spans="2:65" s="2070" customFormat="1" ht="24.2" customHeight="1">
      <c r="B253" s="2164"/>
      <c r="C253" s="5609" t="s">
        <v>2583</v>
      </c>
      <c r="D253" s="4614" t="s">
        <v>135</v>
      </c>
      <c r="E253" s="4615" t="s">
        <v>3413</v>
      </c>
      <c r="F253" s="4616" t="s">
        <v>3414</v>
      </c>
      <c r="G253" s="4617" t="s">
        <v>221</v>
      </c>
      <c r="H253" s="5610">
        <f>H256</f>
        <v>34.512221205000003</v>
      </c>
      <c r="I253" s="5874" t="s">
        <v>11555</v>
      </c>
      <c r="J253" s="5875"/>
      <c r="K253" s="4616" t="s">
        <v>142</v>
      </c>
      <c r="L253" s="2223"/>
      <c r="M253" s="2224" t="s">
        <v>3146</v>
      </c>
      <c r="N253" s="2225" t="s">
        <v>3181</v>
      </c>
      <c r="O253" s="2191">
        <v>0</v>
      </c>
      <c r="P253" s="2191">
        <f>O253*H253</f>
        <v>0</v>
      </c>
      <c r="Q253" s="2191">
        <v>2.4500000000000002</v>
      </c>
      <c r="R253" s="2191">
        <f>Q253*H253</f>
        <v>84.554941952250019</v>
      </c>
      <c r="S253" s="2191">
        <v>0</v>
      </c>
      <c r="T253" s="2192">
        <f>S253*H253</f>
        <v>0</v>
      </c>
      <c r="AR253" s="2193" t="s">
        <v>1363</v>
      </c>
      <c r="AT253" s="2193" t="s">
        <v>135</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v>0</v>
      </c>
      <c r="BL253" s="2056" t="s">
        <v>856</v>
      </c>
      <c r="BM253" s="2193" t="s">
        <v>3415</v>
      </c>
    </row>
    <row r="254" spans="2:65" s="2209" customFormat="1">
      <c r="B254" s="2210"/>
      <c r="D254" s="2197" t="s">
        <v>3303</v>
      </c>
      <c r="E254" s="2211" t="s">
        <v>3146</v>
      </c>
      <c r="F254" s="5560" t="s">
        <v>11632</v>
      </c>
      <c r="H254" s="5569">
        <f>(3.14*0.315*0.315*(15*(5+0.3))*1.1)</f>
        <v>27.246490425000001</v>
      </c>
      <c r="L254" s="2210"/>
      <c r="M254" s="2214"/>
      <c r="T254" s="2215"/>
      <c r="AT254" s="2211" t="s">
        <v>3303</v>
      </c>
      <c r="AU254" s="2211" t="s">
        <v>134</v>
      </c>
      <c r="AV254" s="2209" t="s">
        <v>134</v>
      </c>
      <c r="AW254" s="2209" t="s">
        <v>3171</v>
      </c>
      <c r="AX254" s="2209" t="s">
        <v>3213</v>
      </c>
      <c r="AY254" s="2211" t="s">
        <v>3285</v>
      </c>
    </row>
    <row r="255" spans="2:65" s="2209" customFormat="1">
      <c r="B255" s="2210"/>
      <c r="D255" s="2197" t="s">
        <v>3303</v>
      </c>
      <c r="E255" s="2211" t="s">
        <v>3146</v>
      </c>
      <c r="F255" s="5560" t="s">
        <v>11631</v>
      </c>
      <c r="G255" s="5574"/>
      <c r="H255" s="5569">
        <f>(3.14*0.315*0.315*(4*(5+0.3))*1.1)</f>
        <v>7.2657307800000002</v>
      </c>
      <c r="L255" s="2210"/>
      <c r="M255" s="2214"/>
      <c r="T255" s="2215"/>
      <c r="AT255" s="2211" t="s">
        <v>3303</v>
      </c>
      <c r="AU255" s="2211" t="s">
        <v>134</v>
      </c>
      <c r="AV255" s="2209" t="s">
        <v>134</v>
      </c>
      <c r="AW255" s="2209" t="s">
        <v>3171</v>
      </c>
      <c r="AX255" s="2209" t="s">
        <v>3213</v>
      </c>
      <c r="AY255" s="2211" t="s">
        <v>3285</v>
      </c>
    </row>
    <row r="256" spans="2:65" s="2216" customFormat="1">
      <c r="B256" s="2217"/>
      <c r="D256" s="2197" t="s">
        <v>3303</v>
      </c>
      <c r="E256" s="2218" t="s">
        <v>3146</v>
      </c>
      <c r="F256" s="2219" t="s">
        <v>3306</v>
      </c>
      <c r="H256" s="2220">
        <f>SUM(H254:H255)</f>
        <v>34.512221205000003</v>
      </c>
      <c r="L256" s="2217"/>
      <c r="M256" s="2221"/>
      <c r="T256" s="2222"/>
      <c r="AT256" s="2218" t="s">
        <v>3303</v>
      </c>
      <c r="AU256" s="2218" t="s">
        <v>134</v>
      </c>
      <c r="AV256" s="2216" t="s">
        <v>856</v>
      </c>
      <c r="AW256" s="2216" t="s">
        <v>3171</v>
      </c>
      <c r="AX256" s="2216" t="s">
        <v>133</v>
      </c>
      <c r="AY256" s="2218" t="s">
        <v>3285</v>
      </c>
    </row>
    <row r="257" spans="2:65" s="2070" customFormat="1" ht="37.9" customHeight="1">
      <c r="B257" s="2164"/>
      <c r="C257" s="5561" t="s">
        <v>685</v>
      </c>
      <c r="D257" s="4608" t="s">
        <v>3286</v>
      </c>
      <c r="E257" s="4609" t="s">
        <v>3416</v>
      </c>
      <c r="F257" s="4610" t="s">
        <v>3417</v>
      </c>
      <c r="G257" s="4611" t="s">
        <v>141</v>
      </c>
      <c r="H257" s="5568">
        <f>H264</f>
        <v>650.5</v>
      </c>
      <c r="I257" s="4613"/>
      <c r="J257" s="4613">
        <f>ROUND(I257*H257,2)</f>
        <v>0</v>
      </c>
      <c r="K257" s="4610" t="s">
        <v>142</v>
      </c>
      <c r="L257" s="2071"/>
      <c r="M257" s="2190" t="s">
        <v>3146</v>
      </c>
      <c r="N257" s="2163" t="s">
        <v>3181</v>
      </c>
      <c r="O257" s="2191">
        <v>0.56000000000000005</v>
      </c>
      <c r="P257" s="2191">
        <f>O257*H257</f>
        <v>364.28000000000003</v>
      </c>
      <c r="Q257" s="2191">
        <v>0</v>
      </c>
      <c r="R257" s="2191">
        <f>Q257*H257</f>
        <v>0</v>
      </c>
      <c r="S257" s="2191">
        <v>0</v>
      </c>
      <c r="T257" s="2192">
        <f>S257*H257</f>
        <v>0</v>
      </c>
      <c r="AR257" s="2193" t="s">
        <v>856</v>
      </c>
      <c r="AT257" s="2193" t="s">
        <v>3286</v>
      </c>
      <c r="AU257" s="2193" t="s">
        <v>134</v>
      </c>
      <c r="AY257" s="2056" t="s">
        <v>3285</v>
      </c>
      <c r="BE257" s="2194">
        <f>IF(N257="základní",J257,0)</f>
        <v>0</v>
      </c>
      <c r="BF257" s="2194">
        <f>IF(N257="snížená",J257,0)</f>
        <v>0</v>
      </c>
      <c r="BG257" s="2194">
        <f>IF(N257="zákl. přenesená",J257,0)</f>
        <v>0</v>
      </c>
      <c r="BH257" s="2194">
        <f>IF(N257="sníž. přenesená",J257,0)</f>
        <v>0</v>
      </c>
      <c r="BI257" s="2194">
        <f>IF(N257="nulová",J257,0)</f>
        <v>0</v>
      </c>
      <c r="BJ257" s="2056" t="s">
        <v>134</v>
      </c>
      <c r="BK257" s="2194">
        <f>ROUND(I257*H257,2)</f>
        <v>0</v>
      </c>
      <c r="BL257" s="2056" t="s">
        <v>856</v>
      </c>
      <c r="BM257" s="2193" t="s">
        <v>3418</v>
      </c>
    </row>
    <row r="258" spans="2:65" s="2209" customFormat="1">
      <c r="B258" s="2210"/>
      <c r="D258" s="2197" t="s">
        <v>3303</v>
      </c>
      <c r="E258" s="2211" t="s">
        <v>3146</v>
      </c>
      <c r="F258" s="5560" t="s">
        <v>11773</v>
      </c>
      <c r="G258" s="5574"/>
      <c r="H258" s="5569">
        <f>15*6.5</f>
        <v>97.5</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3406</v>
      </c>
      <c r="H259" s="2213">
        <v>288</v>
      </c>
      <c r="L259" s="2210"/>
      <c r="M259" s="2214"/>
      <c r="T259" s="2215"/>
      <c r="AT259" s="2211" t="s">
        <v>3303</v>
      </c>
      <c r="AU259" s="2211" t="s">
        <v>134</v>
      </c>
      <c r="AV259" s="2209" t="s">
        <v>134</v>
      </c>
      <c r="AW259" s="2209" t="s">
        <v>3171</v>
      </c>
      <c r="AX259" s="2209" t="s">
        <v>3213</v>
      </c>
      <c r="AY259" s="2211" t="s">
        <v>3285</v>
      </c>
    </row>
    <row r="260" spans="2:65" s="2209" customFormat="1">
      <c r="B260" s="2210"/>
      <c r="D260" s="2197" t="s">
        <v>3303</v>
      </c>
      <c r="E260" s="2211" t="s">
        <v>3146</v>
      </c>
      <c r="F260" s="2212" t="s">
        <v>3407</v>
      </c>
      <c r="H260" s="2213">
        <v>162</v>
      </c>
      <c r="L260" s="2210"/>
      <c r="M260" s="2214"/>
      <c r="T260" s="2215"/>
      <c r="AT260" s="2211" t="s">
        <v>3303</v>
      </c>
      <c r="AU260" s="2211" t="s">
        <v>134</v>
      </c>
      <c r="AV260" s="2209" t="s">
        <v>134</v>
      </c>
      <c r="AW260" s="2209" t="s">
        <v>3171</v>
      </c>
      <c r="AX260" s="2209" t="s">
        <v>3213</v>
      </c>
      <c r="AY260" s="2211" t="s">
        <v>3285</v>
      </c>
    </row>
    <row r="261" spans="2:65" s="2209" customFormat="1">
      <c r="B261" s="2210"/>
      <c r="D261" s="2197" t="s">
        <v>3303</v>
      </c>
      <c r="E261" s="2211" t="s">
        <v>3146</v>
      </c>
      <c r="F261" s="2212" t="s">
        <v>3408</v>
      </c>
      <c r="H261" s="2213">
        <v>54.6</v>
      </c>
      <c r="L261" s="2210"/>
      <c r="M261" s="2214"/>
      <c r="T261" s="2215"/>
      <c r="AT261" s="2211" t="s">
        <v>3303</v>
      </c>
      <c r="AU261" s="2211" t="s">
        <v>134</v>
      </c>
      <c r="AV261" s="2209" t="s">
        <v>134</v>
      </c>
      <c r="AW261" s="2209" t="s">
        <v>3171</v>
      </c>
      <c r="AX261" s="2209" t="s">
        <v>3213</v>
      </c>
      <c r="AY261" s="2211" t="s">
        <v>3285</v>
      </c>
    </row>
    <row r="262" spans="2:65" s="2209" customFormat="1">
      <c r="B262" s="2210"/>
      <c r="D262" s="2197" t="s">
        <v>3303</v>
      </c>
      <c r="E262" s="2211" t="s">
        <v>3146</v>
      </c>
      <c r="F262" s="2212" t="s">
        <v>3409</v>
      </c>
      <c r="H262" s="2213">
        <v>16.8</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11774</v>
      </c>
      <c r="H263" s="5569">
        <f>4*7.9</f>
        <v>31.6</v>
      </c>
      <c r="L263" s="2210"/>
      <c r="M263" s="2214"/>
      <c r="T263" s="2215"/>
      <c r="AT263" s="2211" t="s">
        <v>3303</v>
      </c>
      <c r="AU263" s="2211" t="s">
        <v>134</v>
      </c>
      <c r="AV263" s="2209" t="s">
        <v>134</v>
      </c>
      <c r="AW263" s="2209" t="s">
        <v>3171</v>
      </c>
      <c r="AX263" s="2209" t="s">
        <v>3213</v>
      </c>
      <c r="AY263" s="2211" t="s">
        <v>3285</v>
      </c>
    </row>
    <row r="264" spans="2:65" s="2216" customFormat="1">
      <c r="B264" s="2217"/>
      <c r="D264" s="2197" t="s">
        <v>3303</v>
      </c>
      <c r="E264" s="2218" t="s">
        <v>3146</v>
      </c>
      <c r="F264" s="2219" t="s">
        <v>3306</v>
      </c>
      <c r="H264" s="2220">
        <f>SUM(H258:H263)</f>
        <v>650.5</v>
      </c>
      <c r="L264" s="2217"/>
      <c r="M264" s="2221"/>
      <c r="T264" s="2222"/>
      <c r="AT264" s="2218" t="s">
        <v>3303</v>
      </c>
      <c r="AU264" s="2218" t="s">
        <v>134</v>
      </c>
      <c r="AV264" s="2216" t="s">
        <v>856</v>
      </c>
      <c r="AW264" s="2216" t="s">
        <v>3171</v>
      </c>
      <c r="AX264" s="2216" t="s">
        <v>133</v>
      </c>
      <c r="AY264" s="2218" t="s">
        <v>3285</v>
      </c>
    </row>
    <row r="265" spans="2:65" s="2070" customFormat="1" ht="24.2" customHeight="1">
      <c r="B265" s="2164"/>
      <c r="C265" s="5609" t="s">
        <v>2605</v>
      </c>
      <c r="D265" s="4614" t="s">
        <v>135</v>
      </c>
      <c r="E265" s="4615" t="s">
        <v>3413</v>
      </c>
      <c r="F265" s="4616" t="s">
        <v>3414</v>
      </c>
      <c r="G265" s="4617" t="s">
        <v>221</v>
      </c>
      <c r="H265" s="5610">
        <f>H272</f>
        <v>303.76462049999998</v>
      </c>
      <c r="I265" s="4619"/>
      <c r="J265" s="4619">
        <f>ROUND(I265*H265,2)</f>
        <v>0</v>
      </c>
      <c r="K265" s="4616" t="s">
        <v>142</v>
      </c>
      <c r="L265" s="2223"/>
      <c r="M265" s="2224" t="s">
        <v>3146</v>
      </c>
      <c r="N265" s="2225" t="s">
        <v>3181</v>
      </c>
      <c r="O265" s="2191">
        <v>0</v>
      </c>
      <c r="P265" s="2191">
        <f>O265*H265</f>
        <v>0</v>
      </c>
      <c r="Q265" s="2191">
        <v>2.4500000000000002</v>
      </c>
      <c r="R265" s="2191">
        <f>Q265*H265</f>
        <v>744.22332022499995</v>
      </c>
      <c r="S265" s="2191">
        <v>0</v>
      </c>
      <c r="T265" s="2192">
        <f>S265*H265</f>
        <v>0</v>
      </c>
      <c r="AR265" s="2193" t="s">
        <v>1363</v>
      </c>
      <c r="AT265" s="2193" t="s">
        <v>135</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3419</v>
      </c>
    </row>
    <row r="266" spans="2:65" s="2209" customFormat="1">
      <c r="B266" s="2210"/>
      <c r="D266" s="2197" t="s">
        <v>3303</v>
      </c>
      <c r="E266" s="2211" t="s">
        <v>3146</v>
      </c>
      <c r="F266" s="5560" t="s">
        <v>11775</v>
      </c>
      <c r="H266" s="5569">
        <f>(3.14*0.45*0.45*(15*(4+0.3))*1.1)</f>
        <v>45.113557500000006</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5560" t="s">
        <v>11633</v>
      </c>
      <c r="G267" s="5574"/>
      <c r="H267" s="5569">
        <f>(3.14*0.45*0.45*(36*(5+0.3))*1.1)</f>
        <v>133.45219800000001</v>
      </c>
      <c r="L267" s="2210"/>
      <c r="M267" s="2214"/>
      <c r="T267" s="2215"/>
      <c r="AT267" s="2211" t="s">
        <v>3303</v>
      </c>
      <c r="AU267" s="2211" t="s">
        <v>134</v>
      </c>
      <c r="AV267" s="2209" t="s">
        <v>134</v>
      </c>
      <c r="AW267" s="2209" t="s">
        <v>3171</v>
      </c>
      <c r="AX267" s="2209" t="s">
        <v>3213</v>
      </c>
      <c r="AY267" s="2211" t="s">
        <v>3285</v>
      </c>
    </row>
    <row r="268" spans="2:65" s="2209" customFormat="1">
      <c r="B268" s="2210"/>
      <c r="D268" s="2197" t="s">
        <v>3303</v>
      </c>
      <c r="E268" s="2211" t="s">
        <v>3146</v>
      </c>
      <c r="F268" s="5560" t="s">
        <v>11634</v>
      </c>
      <c r="G268" s="5574"/>
      <c r="H268" s="5569">
        <f>(3.14*0.45*0.45*(18*(6+0.3))*1.1)</f>
        <v>79.315929000000011</v>
      </c>
      <c r="L268" s="2210"/>
      <c r="M268" s="2214"/>
      <c r="T268" s="2215"/>
      <c r="AT268" s="2211" t="s">
        <v>3303</v>
      </c>
      <c r="AU268" s="2211" t="s">
        <v>134</v>
      </c>
      <c r="AV268" s="2209" t="s">
        <v>134</v>
      </c>
      <c r="AW268" s="2209" t="s">
        <v>3171</v>
      </c>
      <c r="AX268" s="2209" t="s">
        <v>3213</v>
      </c>
      <c r="AY268" s="2211" t="s">
        <v>3285</v>
      </c>
    </row>
    <row r="269" spans="2:65" s="2209" customFormat="1">
      <c r="B269" s="2210"/>
      <c r="D269" s="2197" t="s">
        <v>3303</v>
      </c>
      <c r="E269" s="2211" t="s">
        <v>3146</v>
      </c>
      <c r="F269" s="5560" t="s">
        <v>11635</v>
      </c>
      <c r="G269" s="5574"/>
      <c r="H269" s="5569">
        <f>(3.14*0.45*0.45*(6*(5+0.3))*1.1)</f>
        <v>22.242032999999999</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11636</v>
      </c>
      <c r="G270" s="5574"/>
      <c r="H270" s="5569">
        <f>(3.14*0.45*0.45*(2*(8+0.3))*1.1)</f>
        <v>11.610621000000002</v>
      </c>
      <c r="L270" s="2210"/>
      <c r="M270" s="2214"/>
      <c r="T270" s="2215"/>
      <c r="AT270" s="2211" t="s">
        <v>3303</v>
      </c>
      <c r="AU270" s="2211" t="s">
        <v>134</v>
      </c>
      <c r="AV270" s="2209" t="s">
        <v>134</v>
      </c>
      <c r="AW270" s="2209" t="s">
        <v>3171</v>
      </c>
      <c r="AX270" s="2209" t="s">
        <v>3213</v>
      </c>
      <c r="AY270" s="2211" t="s">
        <v>3285</v>
      </c>
    </row>
    <row r="271" spans="2:65" s="2209" customFormat="1">
      <c r="B271" s="2210"/>
      <c r="D271" s="2197" t="s">
        <v>3303</v>
      </c>
      <c r="E271" s="2211" t="s">
        <v>3146</v>
      </c>
      <c r="F271" s="5560" t="s">
        <v>11776</v>
      </c>
      <c r="G271" s="5574"/>
      <c r="H271" s="5569">
        <f>(3.14*0.45*0.45*(4*(4+0.3))*1.1)</f>
        <v>12.030282</v>
      </c>
      <c r="L271" s="2210"/>
      <c r="M271" s="2214"/>
      <c r="T271" s="2215"/>
      <c r="AT271" s="2211" t="s">
        <v>3303</v>
      </c>
      <c r="AU271" s="2211" t="s">
        <v>134</v>
      </c>
      <c r="AV271" s="2209" t="s">
        <v>134</v>
      </c>
      <c r="AW271" s="2209" t="s">
        <v>3171</v>
      </c>
      <c r="AX271" s="2209" t="s">
        <v>3213</v>
      </c>
      <c r="AY271" s="2211" t="s">
        <v>3285</v>
      </c>
    </row>
    <row r="272" spans="2:65" s="2216" customFormat="1">
      <c r="B272" s="2217"/>
      <c r="D272" s="2197" t="s">
        <v>3303</v>
      </c>
      <c r="E272" s="2218" t="s">
        <v>3146</v>
      </c>
      <c r="F272" s="2219" t="s">
        <v>3306</v>
      </c>
      <c r="H272" s="2220">
        <f>SUM(H266:H271)</f>
        <v>303.76462049999998</v>
      </c>
      <c r="L272" s="2217"/>
      <c r="M272" s="2221"/>
      <c r="T272" s="2222"/>
      <c r="AT272" s="2218" t="s">
        <v>3303</v>
      </c>
      <c r="AU272" s="2218" t="s">
        <v>134</v>
      </c>
      <c r="AV272" s="2216" t="s">
        <v>856</v>
      </c>
      <c r="AW272" s="2216" t="s">
        <v>3171</v>
      </c>
      <c r="AX272" s="2216" t="s">
        <v>133</v>
      </c>
      <c r="AY272" s="2218" t="s">
        <v>3285</v>
      </c>
    </row>
    <row r="273" spans="2:65" s="2070" customFormat="1" ht="24.2" customHeight="1">
      <c r="B273" s="2164"/>
      <c r="C273" s="5561" t="s">
        <v>2616</v>
      </c>
      <c r="D273" s="4608" t="s">
        <v>3286</v>
      </c>
      <c r="E273" s="4609" t="s">
        <v>3420</v>
      </c>
      <c r="F273" s="4610" t="s">
        <v>3421</v>
      </c>
      <c r="G273" s="4611" t="s">
        <v>302</v>
      </c>
      <c r="H273" s="5568">
        <f>H288</f>
        <v>19.330499999999997</v>
      </c>
      <c r="I273" s="4613"/>
      <c r="J273" s="4613">
        <f>ROUND(I273*H273,2)</f>
        <v>0</v>
      </c>
      <c r="K273" s="4610" t="s">
        <v>142</v>
      </c>
      <c r="L273" s="2071"/>
      <c r="M273" s="2190" t="s">
        <v>3146</v>
      </c>
      <c r="N273" s="2163" t="s">
        <v>3181</v>
      </c>
      <c r="O273" s="2191">
        <v>17.539000000000001</v>
      </c>
      <c r="P273" s="2191">
        <f>O273*H273</f>
        <v>339.03763949999995</v>
      </c>
      <c r="Q273" s="2191">
        <v>1.11381</v>
      </c>
      <c r="R273" s="2191">
        <f>Q273*H273</f>
        <v>21.530504204999996</v>
      </c>
      <c r="S273" s="2191">
        <v>0</v>
      </c>
      <c r="T273" s="2192">
        <f>S273*H273</f>
        <v>0</v>
      </c>
      <c r="AR273" s="2193" t="s">
        <v>856</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856</v>
      </c>
      <c r="BM273" s="2193" t="s">
        <v>3422</v>
      </c>
    </row>
    <row r="274" spans="2:65" s="2195" customFormat="1">
      <c r="B274" s="2196"/>
      <c r="D274" s="2197" t="s">
        <v>3303</v>
      </c>
      <c r="E274" s="2198" t="s">
        <v>3146</v>
      </c>
      <c r="F274" s="2199" t="s">
        <v>3423</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5560" t="s">
        <v>11777</v>
      </c>
      <c r="H275" s="5569">
        <f>(45.114/1.1)*70*0.001</f>
        <v>2.8708909090909089</v>
      </c>
      <c r="L275" s="2210"/>
      <c r="M275" s="2214"/>
      <c r="T275" s="2215"/>
      <c r="AT275" s="2211" t="s">
        <v>3303</v>
      </c>
      <c r="AU275" s="2211" t="s">
        <v>134</v>
      </c>
      <c r="AV275" s="2209" t="s">
        <v>134</v>
      </c>
      <c r="AW275" s="2209" t="s">
        <v>3171</v>
      </c>
      <c r="AX275" s="2209" t="s">
        <v>3213</v>
      </c>
      <c r="AY275" s="2211" t="s">
        <v>3285</v>
      </c>
    </row>
    <row r="276" spans="2:65" s="2209" customFormat="1">
      <c r="B276" s="2210"/>
      <c r="D276" s="2197" t="s">
        <v>3303</v>
      </c>
      <c r="E276" s="2211" t="s">
        <v>3146</v>
      </c>
      <c r="F276" s="5560" t="s">
        <v>11778</v>
      </c>
      <c r="G276" s="5574"/>
      <c r="H276" s="5569">
        <f>(12.03/1.1)*70*0.001</f>
        <v>0.76554545454545453</v>
      </c>
      <c r="L276" s="2210"/>
      <c r="M276" s="2214"/>
      <c r="T276" s="2215"/>
      <c r="AT276" s="2211" t="s">
        <v>3303</v>
      </c>
      <c r="AU276" s="2211" t="s">
        <v>134</v>
      </c>
      <c r="AV276" s="2209" t="s">
        <v>134</v>
      </c>
      <c r="AW276" s="2209" t="s">
        <v>3171</v>
      </c>
      <c r="AX276" s="2209" t="s">
        <v>3213</v>
      </c>
      <c r="AY276" s="2211" t="s">
        <v>3285</v>
      </c>
    </row>
    <row r="277" spans="2:65" s="2202" customFormat="1">
      <c r="B277" s="2203"/>
      <c r="D277" s="2197" t="s">
        <v>3303</v>
      </c>
      <c r="E277" s="2204" t="s">
        <v>3146</v>
      </c>
      <c r="F277" s="2205" t="s">
        <v>3305</v>
      </c>
      <c r="H277" s="2206">
        <f>SUM(H275:H276)</f>
        <v>3.6364363636363635</v>
      </c>
      <c r="L277" s="2203"/>
      <c r="M277" s="2207"/>
      <c r="T277" s="2208"/>
      <c r="AT277" s="2204" t="s">
        <v>3303</v>
      </c>
      <c r="AU277" s="2204" t="s">
        <v>134</v>
      </c>
      <c r="AV277" s="2202" t="s">
        <v>854</v>
      </c>
      <c r="AW277" s="2202" t="s">
        <v>3171</v>
      </c>
      <c r="AX277" s="2202" t="s">
        <v>3213</v>
      </c>
      <c r="AY277" s="2204" t="s">
        <v>3285</v>
      </c>
    </row>
    <row r="278" spans="2:65" s="2195" customFormat="1">
      <c r="B278" s="2196"/>
      <c r="D278" s="2197" t="s">
        <v>3303</v>
      </c>
      <c r="E278" s="2198" t="s">
        <v>3146</v>
      </c>
      <c r="F278" s="2199" t="s">
        <v>11639</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5560" t="s">
        <v>11637</v>
      </c>
      <c r="H279" s="5569">
        <f>(133.452/1.1)*70*0.001</f>
        <v>8.4923999999999999</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11638</v>
      </c>
      <c r="G280" s="5574"/>
      <c r="H280" s="5569">
        <f>(22.242/1.1)*70*0.001</f>
        <v>1.4154</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SUM(H279:H280)</f>
        <v>9.9077999999999999</v>
      </c>
      <c r="L281" s="2203"/>
      <c r="M281" s="2207"/>
      <c r="T281" s="2208"/>
      <c r="AT281" s="2204" t="s">
        <v>3303</v>
      </c>
      <c r="AU281" s="2204" t="s">
        <v>134</v>
      </c>
      <c r="AV281" s="2202" t="s">
        <v>854</v>
      </c>
      <c r="AW281" s="2202" t="s">
        <v>3171</v>
      </c>
      <c r="AX281" s="2202" t="s">
        <v>3213</v>
      </c>
      <c r="AY281" s="2204" t="s">
        <v>3285</v>
      </c>
    </row>
    <row r="282" spans="2:65" s="2209" customFormat="1">
      <c r="B282" s="2210"/>
      <c r="D282" s="2197" t="s">
        <v>3303</v>
      </c>
      <c r="E282" s="2211" t="s">
        <v>3146</v>
      </c>
      <c r="F282" s="2199" t="s">
        <v>11640</v>
      </c>
      <c r="H282" s="2213"/>
      <c r="L282" s="2210"/>
      <c r="M282" s="2214"/>
      <c r="T282" s="2215"/>
      <c r="AT282" s="2211" t="s">
        <v>3303</v>
      </c>
      <c r="AU282" s="2211" t="s">
        <v>134</v>
      </c>
      <c r="AV282" s="2209" t="s">
        <v>134</v>
      </c>
      <c r="AW282" s="2209" t="s">
        <v>3171</v>
      </c>
      <c r="AX282" s="2209" t="s">
        <v>3213</v>
      </c>
      <c r="AY282" s="2211" t="s">
        <v>3285</v>
      </c>
    </row>
    <row r="283" spans="2:65" s="2209" customFormat="1">
      <c r="B283" s="2210"/>
      <c r="D283" s="2197" t="s">
        <v>3303</v>
      </c>
      <c r="E283" s="2211" t="s">
        <v>3146</v>
      </c>
      <c r="F283" s="5560" t="s">
        <v>11641</v>
      </c>
      <c r="H283" s="5569">
        <f>(79.316/1.1)*70*0.001</f>
        <v>5.047381818181818</v>
      </c>
      <c r="L283" s="2210"/>
      <c r="M283" s="2214"/>
      <c r="T283" s="2215"/>
      <c r="AT283" s="2211" t="s">
        <v>3303</v>
      </c>
      <c r="AU283" s="2211" t="s">
        <v>134</v>
      </c>
      <c r="AV283" s="2209" t="s">
        <v>134</v>
      </c>
      <c r="AW283" s="2209" t="s">
        <v>3171</v>
      </c>
      <c r="AX283" s="2209" t="s">
        <v>3213</v>
      </c>
      <c r="AY283" s="2211" t="s">
        <v>3285</v>
      </c>
    </row>
    <row r="284" spans="2:65" s="2202" customFormat="1">
      <c r="B284" s="2203"/>
      <c r="D284" s="2197" t="s">
        <v>3303</v>
      </c>
      <c r="E284" s="2204" t="s">
        <v>3146</v>
      </c>
      <c r="F284" s="2205" t="s">
        <v>3305</v>
      </c>
      <c r="H284" s="2206">
        <f>SUM(H283)</f>
        <v>5.047381818181818</v>
      </c>
      <c r="L284" s="2203"/>
      <c r="M284" s="2207"/>
      <c r="T284" s="2208"/>
      <c r="AT284" s="2204" t="s">
        <v>3303</v>
      </c>
      <c r="AU284" s="2204" t="s">
        <v>134</v>
      </c>
      <c r="AV284" s="2202" t="s">
        <v>854</v>
      </c>
      <c r="AW284" s="2202" t="s">
        <v>3171</v>
      </c>
      <c r="AX284" s="2202" t="s">
        <v>3213</v>
      </c>
      <c r="AY284" s="2204" t="s">
        <v>3285</v>
      </c>
    </row>
    <row r="285" spans="2:65" s="2209" customFormat="1">
      <c r="B285" s="2210"/>
      <c r="D285" s="2197" t="s">
        <v>3303</v>
      </c>
      <c r="E285" s="2211" t="s">
        <v>3146</v>
      </c>
      <c r="F285" s="2199" t="s">
        <v>11642</v>
      </c>
      <c r="H285" s="2213"/>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5560" t="s">
        <v>11643</v>
      </c>
      <c r="H286" s="5569">
        <f>(11.611/1.1)*70*0.001</f>
        <v>0.7388818181818182</v>
      </c>
      <c r="L286" s="2210"/>
      <c r="M286" s="2214"/>
      <c r="T286" s="2215"/>
      <c r="AT286" s="2211" t="s">
        <v>3303</v>
      </c>
      <c r="AU286" s="2211" t="s">
        <v>134</v>
      </c>
      <c r="AV286" s="2209" t="s">
        <v>134</v>
      </c>
      <c r="AW286" s="2209" t="s">
        <v>3171</v>
      </c>
      <c r="AX286" s="2209" t="s">
        <v>3213</v>
      </c>
      <c r="AY286" s="2211" t="s">
        <v>3285</v>
      </c>
    </row>
    <row r="287" spans="2:65" s="2202" customFormat="1">
      <c r="B287" s="2203"/>
      <c r="D287" s="2197" t="s">
        <v>3303</v>
      </c>
      <c r="E287" s="2204" t="s">
        <v>3146</v>
      </c>
      <c r="F287" s="2205" t="s">
        <v>3305</v>
      </c>
      <c r="H287" s="2206">
        <f>SUM(H286)</f>
        <v>0.7388818181818182</v>
      </c>
      <c r="L287" s="2203"/>
      <c r="M287" s="2207"/>
      <c r="T287" s="2208"/>
      <c r="AT287" s="2204" t="s">
        <v>3303</v>
      </c>
      <c r="AU287" s="2204" t="s">
        <v>134</v>
      </c>
      <c r="AV287" s="2202" t="s">
        <v>854</v>
      </c>
      <c r="AW287" s="2202" t="s">
        <v>3171</v>
      </c>
      <c r="AX287" s="2202" t="s">
        <v>3213</v>
      </c>
      <c r="AY287" s="2204" t="s">
        <v>3285</v>
      </c>
    </row>
    <row r="288" spans="2:65" s="2216" customFormat="1">
      <c r="B288" s="2217"/>
      <c r="D288" s="2197" t="s">
        <v>3303</v>
      </c>
      <c r="E288" s="2218" t="s">
        <v>3146</v>
      </c>
      <c r="F288" s="2219" t="s">
        <v>3306</v>
      </c>
      <c r="H288" s="2220">
        <f>H277+H281+H284+H287</f>
        <v>19.330499999999997</v>
      </c>
      <c r="L288" s="2217"/>
      <c r="M288" s="2221"/>
      <c r="T288" s="2222"/>
      <c r="AT288" s="2218" t="s">
        <v>3303</v>
      </c>
      <c r="AU288" s="2218" t="s">
        <v>134</v>
      </c>
      <c r="AV288" s="2216" t="s">
        <v>856</v>
      </c>
      <c r="AW288" s="2216" t="s">
        <v>3171</v>
      </c>
      <c r="AX288" s="2216" t="s">
        <v>133</v>
      </c>
      <c r="AY288" s="2218" t="s">
        <v>3285</v>
      </c>
    </row>
    <row r="289" spans="2:65" s="2070" customFormat="1" ht="24.2" customHeight="1">
      <c r="B289" s="2164"/>
      <c r="C289" s="5561" t="s">
        <v>3424</v>
      </c>
      <c r="D289" s="4608" t="s">
        <v>3286</v>
      </c>
      <c r="E289" s="4609" t="s">
        <v>3425</v>
      </c>
      <c r="F289" s="4610" t="s">
        <v>3426</v>
      </c>
      <c r="G289" s="4611" t="s">
        <v>141</v>
      </c>
      <c r="H289" s="5568">
        <f>H290</f>
        <v>5.7</v>
      </c>
      <c r="I289" s="5874" t="s">
        <v>11555</v>
      </c>
      <c r="J289" s="5875"/>
      <c r="K289" s="4610" t="s">
        <v>142</v>
      </c>
      <c r="L289" s="2071"/>
      <c r="M289" s="2190" t="s">
        <v>3146</v>
      </c>
      <c r="N289" s="2163" t="s">
        <v>3181</v>
      </c>
      <c r="O289" s="2191">
        <v>3.3180000000000001</v>
      </c>
      <c r="P289" s="2191">
        <f>O289*H289</f>
        <v>18.912600000000001</v>
      </c>
      <c r="Q289" s="2191">
        <v>0</v>
      </c>
      <c r="R289" s="2191">
        <f>Q289*H289</f>
        <v>0</v>
      </c>
      <c r="S289" s="2191">
        <v>0.56899999999999995</v>
      </c>
      <c r="T289" s="2192">
        <f>S289*H289</f>
        <v>3.2432999999999996</v>
      </c>
      <c r="AR289" s="2193" t="s">
        <v>856</v>
      </c>
      <c r="AT289" s="2193" t="s">
        <v>3286</v>
      </c>
      <c r="AU289" s="2193" t="s">
        <v>134</v>
      </c>
      <c r="AY289" s="2056" t="s">
        <v>3285</v>
      </c>
      <c r="BE289" s="2194">
        <f>IF(N289="základní",J289,0)</f>
        <v>0</v>
      </c>
      <c r="BF289" s="2194">
        <f>IF(N289="snížená",J289,0)</f>
        <v>0</v>
      </c>
      <c r="BG289" s="2194">
        <f>IF(N289="zákl. přenesená",J289,0)</f>
        <v>0</v>
      </c>
      <c r="BH289" s="2194">
        <f>IF(N289="sníž. přenesená",J289,0)</f>
        <v>0</v>
      </c>
      <c r="BI289" s="2194">
        <f>IF(N289="nulová",J289,0)</f>
        <v>0</v>
      </c>
      <c r="BJ289" s="2056" t="s">
        <v>134</v>
      </c>
      <c r="BK289" s="2194">
        <v>0</v>
      </c>
      <c r="BL289" s="2056" t="s">
        <v>856</v>
      </c>
      <c r="BM289" s="2193" t="s">
        <v>3427</v>
      </c>
    </row>
    <row r="290" spans="2:65" s="2209" customFormat="1">
      <c r="B290" s="2210"/>
      <c r="D290" s="2197" t="s">
        <v>3303</v>
      </c>
      <c r="E290" s="2211" t="s">
        <v>3146</v>
      </c>
      <c r="F290" s="5560" t="s">
        <v>11644</v>
      </c>
      <c r="H290" s="5569">
        <f>0.3*19</f>
        <v>5.7</v>
      </c>
      <c r="L290" s="2210"/>
      <c r="M290" s="2214"/>
      <c r="T290" s="2215"/>
      <c r="AT290" s="2211" t="s">
        <v>3303</v>
      </c>
      <c r="AU290" s="2211" t="s">
        <v>134</v>
      </c>
      <c r="AV290" s="2209" t="s">
        <v>134</v>
      </c>
      <c r="AW290" s="2209" t="s">
        <v>3171</v>
      </c>
      <c r="AX290" s="2209" t="s">
        <v>133</v>
      </c>
      <c r="AY290" s="2211" t="s">
        <v>3285</v>
      </c>
    </row>
    <row r="291" spans="2:65" s="2070" customFormat="1" ht="24.2" customHeight="1">
      <c r="B291" s="2164"/>
      <c r="C291" s="5561">
        <v>42</v>
      </c>
      <c r="D291" s="4608" t="s">
        <v>3286</v>
      </c>
      <c r="E291" s="4609" t="s">
        <v>11579</v>
      </c>
      <c r="F291" s="4610" t="s">
        <v>11580</v>
      </c>
      <c r="G291" s="4611" t="s">
        <v>141</v>
      </c>
      <c r="H291" s="5568">
        <f>SUM(H292:H293)</f>
        <v>24.299999999999997</v>
      </c>
      <c r="I291" s="4613"/>
      <c r="J291" s="4613">
        <f>ROUND(I291*H291,2)</f>
        <v>0</v>
      </c>
      <c r="K291" s="4610" t="s">
        <v>142</v>
      </c>
      <c r="L291" s="2071"/>
      <c r="M291" s="2190" t="s">
        <v>3146</v>
      </c>
      <c r="N291" s="2163" t="s">
        <v>3181</v>
      </c>
      <c r="O291" s="2191">
        <v>3.3180000000000001</v>
      </c>
      <c r="P291" s="2191">
        <f>O291*H291</f>
        <v>80.627399999999994</v>
      </c>
      <c r="Q291" s="2191">
        <v>0</v>
      </c>
      <c r="R291" s="2191">
        <f>Q291*H291</f>
        <v>0</v>
      </c>
      <c r="S291" s="2191">
        <v>0.56899999999999995</v>
      </c>
      <c r="T291" s="2192">
        <f>S291*H291</f>
        <v>13.826699999999997</v>
      </c>
      <c r="AR291" s="2193" t="s">
        <v>856</v>
      </c>
      <c r="AT291" s="2193" t="s">
        <v>3286</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856</v>
      </c>
      <c r="BM291" s="2193" t="s">
        <v>3427</v>
      </c>
    </row>
    <row r="292" spans="2:65" s="2209" customFormat="1">
      <c r="B292" s="2210"/>
      <c r="D292" s="2197" t="s">
        <v>3303</v>
      </c>
      <c r="E292" s="2211" t="s">
        <v>3146</v>
      </c>
      <c r="F292" s="5560" t="s">
        <v>11644</v>
      </c>
      <c r="H292" s="5569">
        <f>0.3*19</f>
        <v>5.7</v>
      </c>
      <c r="L292" s="2210"/>
      <c r="M292" s="2214"/>
      <c r="T292" s="2215"/>
      <c r="AT292" s="2211" t="s">
        <v>3303</v>
      </c>
      <c r="AU292" s="2211" t="s">
        <v>134</v>
      </c>
      <c r="AV292" s="2209" t="s">
        <v>134</v>
      </c>
      <c r="AW292" s="2209" t="s">
        <v>3171</v>
      </c>
      <c r="AX292" s="2209" t="s">
        <v>133</v>
      </c>
      <c r="AY292" s="2211" t="s">
        <v>3285</v>
      </c>
    </row>
    <row r="293" spans="2:65" s="2209" customFormat="1">
      <c r="B293" s="2210"/>
      <c r="D293" s="2197" t="s">
        <v>3303</v>
      </c>
      <c r="E293" s="2211" t="s">
        <v>3146</v>
      </c>
      <c r="F293" s="5560" t="s">
        <v>11645</v>
      </c>
      <c r="G293" s="5574"/>
      <c r="H293" s="5569">
        <f>0.3*(36+18+6+2)</f>
        <v>18.599999999999998</v>
      </c>
      <c r="L293" s="2210"/>
      <c r="M293" s="2214"/>
      <c r="T293" s="2215"/>
      <c r="AT293" s="2211" t="s">
        <v>3303</v>
      </c>
      <c r="AU293" s="2211" t="s">
        <v>134</v>
      </c>
      <c r="AV293" s="2209" t="s">
        <v>134</v>
      </c>
      <c r="AW293" s="2209" t="s">
        <v>3171</v>
      </c>
      <c r="AX293" s="2209" t="s">
        <v>3213</v>
      </c>
      <c r="AY293" s="2211" t="s">
        <v>3285</v>
      </c>
    </row>
    <row r="294" spans="2:65" s="2070" customFormat="1" ht="24.2" customHeight="1">
      <c r="B294" s="2164"/>
      <c r="C294" s="4608">
        <v>43</v>
      </c>
      <c r="D294" s="4608" t="s">
        <v>3286</v>
      </c>
      <c r="E294" s="4609" t="s">
        <v>3428</v>
      </c>
      <c r="F294" s="4610" t="s">
        <v>3429</v>
      </c>
      <c r="G294" s="4611" t="s">
        <v>221</v>
      </c>
      <c r="H294" s="4612">
        <f>H299</f>
        <v>139.80200000000002</v>
      </c>
      <c r="I294" s="4613"/>
      <c r="J294" s="4613">
        <f>ROUND(I294*H294,2)</f>
        <v>0</v>
      </c>
      <c r="K294" s="4610" t="s">
        <v>142</v>
      </c>
      <c r="L294" s="2071"/>
      <c r="M294" s="2190" t="s">
        <v>3146</v>
      </c>
      <c r="N294" s="2163" t="s">
        <v>3181</v>
      </c>
      <c r="O294" s="2191">
        <v>0.98499999999999999</v>
      </c>
      <c r="P294" s="2191">
        <f>O294*H294</f>
        <v>137.70497000000003</v>
      </c>
      <c r="Q294" s="2191">
        <v>1.98</v>
      </c>
      <c r="R294" s="2191">
        <f>Q294*H294</f>
        <v>276.80796000000004</v>
      </c>
      <c r="S294" s="2191">
        <v>0</v>
      </c>
      <c r="T294" s="2192">
        <f>S294*H294</f>
        <v>0</v>
      </c>
      <c r="AR294" s="2193" t="s">
        <v>856</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856</v>
      </c>
      <c r="BM294" s="2193" t="s">
        <v>3430</v>
      </c>
    </row>
    <row r="295" spans="2:65" s="2209" customFormat="1">
      <c r="B295" s="2210"/>
      <c r="D295" s="2197" t="s">
        <v>3303</v>
      </c>
      <c r="E295" s="2211" t="s">
        <v>3146</v>
      </c>
      <c r="F295" s="2212" t="s">
        <v>3431</v>
      </c>
      <c r="H295" s="2213">
        <v>125.9</v>
      </c>
      <c r="L295" s="2210"/>
      <c r="M295" s="2214"/>
      <c r="T295" s="2215"/>
      <c r="AT295" s="2211" t="s">
        <v>3303</v>
      </c>
      <c r="AU295" s="2211" t="s">
        <v>134</v>
      </c>
      <c r="AV295" s="2209" t="s">
        <v>134</v>
      </c>
      <c r="AW295" s="2209" t="s">
        <v>3171</v>
      </c>
      <c r="AX295" s="2209" t="s">
        <v>3213</v>
      </c>
      <c r="AY295" s="2211" t="s">
        <v>3285</v>
      </c>
    </row>
    <row r="296" spans="2:65" s="2209" customFormat="1">
      <c r="B296" s="2210"/>
      <c r="D296" s="2197" t="s">
        <v>3303</v>
      </c>
      <c r="E296" s="2211" t="s">
        <v>3146</v>
      </c>
      <c r="F296" s="2212" t="s">
        <v>3432</v>
      </c>
      <c r="H296" s="2213">
        <v>9.5079999999999991</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3433</v>
      </c>
      <c r="H297" s="2213">
        <v>3.1560000000000001</v>
      </c>
      <c r="L297" s="2210"/>
      <c r="M297" s="2214"/>
      <c r="T297" s="2215"/>
      <c r="AT297" s="2211" t="s">
        <v>3303</v>
      </c>
      <c r="AU297" s="2211" t="s">
        <v>134</v>
      </c>
      <c r="AV297" s="2209" t="s">
        <v>134</v>
      </c>
      <c r="AW297" s="2209" t="s">
        <v>3171</v>
      </c>
      <c r="AX297" s="2209" t="s">
        <v>3213</v>
      </c>
      <c r="AY297" s="2211" t="s">
        <v>3285</v>
      </c>
    </row>
    <row r="298" spans="2:65" s="2209" customFormat="1">
      <c r="B298" s="2210"/>
      <c r="D298" s="2197" t="s">
        <v>3303</v>
      </c>
      <c r="E298" s="2211" t="s">
        <v>3146</v>
      </c>
      <c r="F298" s="2212" t="s">
        <v>3434</v>
      </c>
      <c r="H298" s="2213">
        <v>1.238</v>
      </c>
      <c r="L298" s="2210"/>
      <c r="M298" s="2214"/>
      <c r="T298" s="2215"/>
      <c r="AT298" s="2211" t="s">
        <v>3303</v>
      </c>
      <c r="AU298" s="2211" t="s">
        <v>134</v>
      </c>
      <c r="AV298" s="2209" t="s">
        <v>134</v>
      </c>
      <c r="AW298" s="2209" t="s">
        <v>3171</v>
      </c>
      <c r="AX298" s="2209" t="s">
        <v>3213</v>
      </c>
      <c r="AY298" s="2211" t="s">
        <v>3285</v>
      </c>
    </row>
    <row r="299" spans="2:65" s="2216" customFormat="1">
      <c r="B299" s="2217"/>
      <c r="D299" s="2197" t="s">
        <v>3303</v>
      </c>
      <c r="E299" s="2218" t="s">
        <v>3146</v>
      </c>
      <c r="F299" s="2219" t="s">
        <v>3306</v>
      </c>
      <c r="H299" s="2220">
        <f>SUM(H295:H298)</f>
        <v>139.80200000000002</v>
      </c>
      <c r="L299" s="2217"/>
      <c r="M299" s="2221"/>
      <c r="T299" s="2222"/>
      <c r="AT299" s="2218" t="s">
        <v>3303</v>
      </c>
      <c r="AU299" s="2218" t="s">
        <v>134</v>
      </c>
      <c r="AV299" s="2216" t="s">
        <v>856</v>
      </c>
      <c r="AW299" s="2216" t="s">
        <v>3171</v>
      </c>
      <c r="AX299" s="2216" t="s">
        <v>133</v>
      </c>
      <c r="AY299" s="2218" t="s">
        <v>3285</v>
      </c>
    </row>
    <row r="300" spans="2:65" s="2070" customFormat="1" ht="24.2" customHeight="1">
      <c r="B300" s="2164"/>
      <c r="C300" s="4608">
        <v>44</v>
      </c>
      <c r="D300" s="4608" t="s">
        <v>3286</v>
      </c>
      <c r="E300" s="4609" t="s">
        <v>3435</v>
      </c>
      <c r="F300" s="4610" t="s">
        <v>3436</v>
      </c>
      <c r="G300" s="4611" t="s">
        <v>221</v>
      </c>
      <c r="H300" s="4612">
        <v>117.53100000000001</v>
      </c>
      <c r="I300" s="4613"/>
      <c r="J300" s="4613">
        <f>ROUND(I300*H300,2)</f>
        <v>0</v>
      </c>
      <c r="K300" s="4610" t="s">
        <v>142</v>
      </c>
      <c r="L300" s="2071"/>
      <c r="M300" s="2190" t="s">
        <v>3146</v>
      </c>
      <c r="N300" s="2163" t="s">
        <v>3181</v>
      </c>
      <c r="O300" s="2191">
        <v>0.629</v>
      </c>
      <c r="P300" s="2191">
        <f>O300*H300</f>
        <v>73.926999000000009</v>
      </c>
      <c r="Q300" s="2191">
        <v>2.3010199999999998</v>
      </c>
      <c r="R300" s="2191">
        <f>Q300*H300</f>
        <v>270.44118162000001</v>
      </c>
      <c r="S300" s="2191">
        <v>0</v>
      </c>
      <c r="T300" s="2192">
        <f>S300*H300</f>
        <v>0</v>
      </c>
      <c r="AR300" s="2193" t="s">
        <v>856</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856</v>
      </c>
      <c r="BM300" s="2193" t="s">
        <v>3437</v>
      </c>
    </row>
    <row r="301" spans="2:65" s="2209" customFormat="1">
      <c r="B301" s="2210"/>
      <c r="D301" s="2197" t="s">
        <v>3303</v>
      </c>
      <c r="E301" s="2211" t="s">
        <v>3146</v>
      </c>
      <c r="F301" s="2212" t="s">
        <v>3438</v>
      </c>
      <c r="H301" s="2213">
        <v>127.446</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3439</v>
      </c>
      <c r="H302" s="2213">
        <v>-9.9149999999999991</v>
      </c>
      <c r="L302" s="2210"/>
      <c r="M302" s="2214"/>
      <c r="T302" s="2215"/>
      <c r="AT302" s="2211" t="s">
        <v>3303</v>
      </c>
      <c r="AU302" s="2211" t="s">
        <v>134</v>
      </c>
      <c r="AV302" s="2209" t="s">
        <v>134</v>
      </c>
      <c r="AW302" s="2209" t="s">
        <v>3171</v>
      </c>
      <c r="AX302" s="2209" t="s">
        <v>3213</v>
      </c>
      <c r="AY302" s="2211" t="s">
        <v>3285</v>
      </c>
    </row>
    <row r="303" spans="2:65" s="2216" customFormat="1">
      <c r="B303" s="2217"/>
      <c r="D303" s="2197" t="s">
        <v>3303</v>
      </c>
      <c r="E303" s="2218" t="s">
        <v>3146</v>
      </c>
      <c r="F303" s="2219" t="s">
        <v>3306</v>
      </c>
      <c r="H303" s="2220">
        <v>117.53100000000001</v>
      </c>
      <c r="L303" s="2217"/>
      <c r="M303" s="2221"/>
      <c r="T303" s="2222"/>
      <c r="AT303" s="2218" t="s">
        <v>3303</v>
      </c>
      <c r="AU303" s="2218" t="s">
        <v>134</v>
      </c>
      <c r="AV303" s="2216" t="s">
        <v>856</v>
      </c>
      <c r="AW303" s="2216" t="s">
        <v>3171</v>
      </c>
      <c r="AX303" s="2216" t="s">
        <v>133</v>
      </c>
      <c r="AY303" s="2218" t="s">
        <v>3285</v>
      </c>
    </row>
    <row r="304" spans="2:65" s="2070" customFormat="1" ht="24.2" customHeight="1">
      <c r="B304" s="2164"/>
      <c r="C304" s="4608">
        <v>45</v>
      </c>
      <c r="D304" s="4608" t="s">
        <v>3286</v>
      </c>
      <c r="E304" s="4609" t="s">
        <v>3440</v>
      </c>
      <c r="F304" s="4610" t="s">
        <v>3441</v>
      </c>
      <c r="G304" s="4611" t="s">
        <v>221</v>
      </c>
      <c r="H304" s="4612">
        <v>349.12599999999998</v>
      </c>
      <c r="I304" s="4613"/>
      <c r="J304" s="4613">
        <f>ROUND(I304*H304,2)</f>
        <v>0</v>
      </c>
      <c r="K304" s="4610" t="s">
        <v>142</v>
      </c>
      <c r="L304" s="2071"/>
      <c r="M304" s="2190" t="s">
        <v>3146</v>
      </c>
      <c r="N304" s="2163" t="s">
        <v>3181</v>
      </c>
      <c r="O304" s="2191">
        <v>0.629</v>
      </c>
      <c r="P304" s="2191">
        <f>O304*H304</f>
        <v>219.60025399999998</v>
      </c>
      <c r="Q304" s="2191">
        <v>2.5018699999999998</v>
      </c>
      <c r="R304" s="2191">
        <f>Q304*H304</f>
        <v>873.46786561999988</v>
      </c>
      <c r="S304" s="2191">
        <v>0</v>
      </c>
      <c r="T304" s="2192">
        <f>S304*H304</f>
        <v>0</v>
      </c>
      <c r="AR304" s="2193" t="s">
        <v>856</v>
      </c>
      <c r="AT304" s="2193" t="s">
        <v>3286</v>
      </c>
      <c r="AU304" s="2193" t="s">
        <v>134</v>
      </c>
      <c r="AY304" s="2056" t="s">
        <v>3285</v>
      </c>
      <c r="BE304" s="2194">
        <f>IF(N304="základní",J304,0)</f>
        <v>0</v>
      </c>
      <c r="BF304" s="2194">
        <f>IF(N304="snížená",J304,0)</f>
        <v>0</v>
      </c>
      <c r="BG304" s="2194">
        <f>IF(N304="zákl. přenesená",J304,0)</f>
        <v>0</v>
      </c>
      <c r="BH304" s="2194">
        <f>IF(N304="sníž. přenesená",J304,0)</f>
        <v>0</v>
      </c>
      <c r="BI304" s="2194">
        <f>IF(N304="nulová",J304,0)</f>
        <v>0</v>
      </c>
      <c r="BJ304" s="2056" t="s">
        <v>134</v>
      </c>
      <c r="BK304" s="2194">
        <f>ROUND(I304*H304,2)</f>
        <v>0</v>
      </c>
      <c r="BL304" s="2056" t="s">
        <v>856</v>
      </c>
      <c r="BM304" s="2193" t="s">
        <v>3442</v>
      </c>
    </row>
    <row r="305" spans="2:65" s="2209" customFormat="1">
      <c r="B305" s="2210"/>
      <c r="D305" s="2197" t="s">
        <v>3303</v>
      </c>
      <c r="E305" s="2211" t="s">
        <v>3146</v>
      </c>
      <c r="F305" s="2212" t="s">
        <v>3443</v>
      </c>
      <c r="H305" s="2213">
        <v>51.3</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3444</v>
      </c>
      <c r="H306" s="2213">
        <v>71.376999999999995</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3445</v>
      </c>
      <c r="H307" s="2213">
        <v>208.66499999999999</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3446</v>
      </c>
      <c r="H308" s="2213">
        <v>-4.6740000000000004</v>
      </c>
      <c r="L308" s="2210"/>
      <c r="M308" s="2214"/>
      <c r="T308" s="2215"/>
      <c r="AT308" s="2211" t="s">
        <v>3303</v>
      </c>
      <c r="AU308" s="2211" t="s">
        <v>134</v>
      </c>
      <c r="AV308" s="2209" t="s">
        <v>134</v>
      </c>
      <c r="AW308" s="2209" t="s">
        <v>3171</v>
      </c>
      <c r="AX308" s="2209" t="s">
        <v>3213</v>
      </c>
      <c r="AY308" s="2211" t="s">
        <v>3285</v>
      </c>
    </row>
    <row r="309" spans="2:65" s="2209" customFormat="1">
      <c r="B309" s="2210"/>
      <c r="D309" s="2197" t="s">
        <v>3303</v>
      </c>
      <c r="E309" s="2211" t="s">
        <v>3146</v>
      </c>
      <c r="F309" s="2212" t="s">
        <v>3447</v>
      </c>
      <c r="H309" s="2213">
        <v>-1.61</v>
      </c>
      <c r="L309" s="2210"/>
      <c r="M309" s="2214"/>
      <c r="T309" s="2215"/>
      <c r="AT309" s="2211" t="s">
        <v>3303</v>
      </c>
      <c r="AU309" s="2211" t="s">
        <v>134</v>
      </c>
      <c r="AV309" s="2209" t="s">
        <v>134</v>
      </c>
      <c r="AW309" s="2209" t="s">
        <v>3171</v>
      </c>
      <c r="AX309" s="2209" t="s">
        <v>3213</v>
      </c>
      <c r="AY309" s="2211" t="s">
        <v>3285</v>
      </c>
    </row>
    <row r="310" spans="2:65" s="2202" customFormat="1">
      <c r="B310" s="2203"/>
      <c r="D310" s="2197" t="s">
        <v>3303</v>
      </c>
      <c r="E310" s="2204" t="s">
        <v>3146</v>
      </c>
      <c r="F310" s="2205" t="s">
        <v>3305</v>
      </c>
      <c r="H310" s="2206">
        <v>325.05799999999999</v>
      </c>
      <c r="L310" s="2203"/>
      <c r="M310" s="2207"/>
      <c r="T310" s="2208"/>
      <c r="AT310" s="2204" t="s">
        <v>3303</v>
      </c>
      <c r="AU310" s="2204" t="s">
        <v>134</v>
      </c>
      <c r="AV310" s="2202" t="s">
        <v>854</v>
      </c>
      <c r="AW310" s="2202" t="s">
        <v>3171</v>
      </c>
      <c r="AX310" s="2202" t="s">
        <v>3213</v>
      </c>
      <c r="AY310" s="2204" t="s">
        <v>3285</v>
      </c>
    </row>
    <row r="311" spans="2:65" s="2209" customFormat="1">
      <c r="B311" s="2210"/>
      <c r="D311" s="2197" t="s">
        <v>3303</v>
      </c>
      <c r="E311" s="2211" t="s">
        <v>3146</v>
      </c>
      <c r="F311" s="2212" t="s">
        <v>3448</v>
      </c>
      <c r="H311" s="2213">
        <v>5.8330000000000002</v>
      </c>
      <c r="L311" s="2210"/>
      <c r="M311" s="2214"/>
      <c r="T311" s="2215"/>
      <c r="AT311" s="2211" t="s">
        <v>3303</v>
      </c>
      <c r="AU311" s="2211" t="s">
        <v>134</v>
      </c>
      <c r="AV311" s="2209" t="s">
        <v>134</v>
      </c>
      <c r="AW311" s="2209" t="s">
        <v>3171</v>
      </c>
      <c r="AX311" s="2209" t="s">
        <v>3213</v>
      </c>
      <c r="AY311" s="2211" t="s">
        <v>3285</v>
      </c>
    </row>
    <row r="312" spans="2:65" s="2209" customFormat="1">
      <c r="B312" s="2210"/>
      <c r="D312" s="2197" t="s">
        <v>3303</v>
      </c>
      <c r="E312" s="2211" t="s">
        <v>3146</v>
      </c>
      <c r="F312" s="2212" t="s">
        <v>3449</v>
      </c>
      <c r="H312" s="2213">
        <v>1.61</v>
      </c>
      <c r="L312" s="2210"/>
      <c r="M312" s="2214"/>
      <c r="T312" s="2215"/>
      <c r="AT312" s="2211" t="s">
        <v>3303</v>
      </c>
      <c r="AU312" s="2211" t="s">
        <v>134</v>
      </c>
      <c r="AV312" s="2209" t="s">
        <v>134</v>
      </c>
      <c r="AW312" s="2209" t="s">
        <v>3171</v>
      </c>
      <c r="AX312" s="2209" t="s">
        <v>3213</v>
      </c>
      <c r="AY312" s="2211" t="s">
        <v>3285</v>
      </c>
    </row>
    <row r="313" spans="2:65" s="2202" customFormat="1">
      <c r="B313" s="2203"/>
      <c r="D313" s="2197" t="s">
        <v>3303</v>
      </c>
      <c r="E313" s="2204" t="s">
        <v>3146</v>
      </c>
      <c r="F313" s="2205" t="s">
        <v>3305</v>
      </c>
      <c r="H313" s="2206">
        <v>7.4429999999999996</v>
      </c>
      <c r="L313" s="2203"/>
      <c r="M313" s="2207"/>
      <c r="T313" s="2208"/>
      <c r="AT313" s="2204" t="s">
        <v>3303</v>
      </c>
      <c r="AU313" s="2204" t="s">
        <v>134</v>
      </c>
      <c r="AV313" s="2202" t="s">
        <v>854</v>
      </c>
      <c r="AW313" s="2202" t="s">
        <v>3171</v>
      </c>
      <c r="AX313" s="2202" t="s">
        <v>3213</v>
      </c>
      <c r="AY313" s="2204" t="s">
        <v>3285</v>
      </c>
    </row>
    <row r="314" spans="2:65" s="2216" customFormat="1">
      <c r="B314" s="2217"/>
      <c r="D314" s="2197" t="s">
        <v>3303</v>
      </c>
      <c r="E314" s="2218" t="s">
        <v>3146</v>
      </c>
      <c r="F314" s="2219" t="s">
        <v>3306</v>
      </c>
      <c r="H314" s="2220">
        <v>332.50099999999998</v>
      </c>
      <c r="L314" s="2217"/>
      <c r="M314" s="2221"/>
      <c r="T314" s="2222"/>
      <c r="AT314" s="2218" t="s">
        <v>3303</v>
      </c>
      <c r="AU314" s="2218" t="s">
        <v>134</v>
      </c>
      <c r="AV314" s="2216" t="s">
        <v>856</v>
      </c>
      <c r="AW314" s="2216" t="s">
        <v>3171</v>
      </c>
      <c r="AX314" s="2216" t="s">
        <v>133</v>
      </c>
      <c r="AY314" s="2218" t="s">
        <v>3285</v>
      </c>
    </row>
    <row r="315" spans="2:65" s="2209" customFormat="1">
      <c r="B315" s="2210"/>
      <c r="D315" s="2197" t="s">
        <v>3303</v>
      </c>
      <c r="F315" s="2212" t="s">
        <v>3450</v>
      </c>
      <c r="H315" s="2213">
        <v>349.12599999999998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v>46</v>
      </c>
      <c r="D316" s="4608" t="s">
        <v>3286</v>
      </c>
      <c r="E316" s="4609" t="s">
        <v>3451</v>
      </c>
      <c r="F316" s="4610" t="s">
        <v>3452</v>
      </c>
      <c r="G316" s="4611" t="s">
        <v>611</v>
      </c>
      <c r="H316" s="4612">
        <v>79.608999999999995</v>
      </c>
      <c r="I316" s="4613"/>
      <c r="J316" s="4613">
        <f>ROUND(I316*H316,2)</f>
        <v>0</v>
      </c>
      <c r="K316" s="4610" t="s">
        <v>142</v>
      </c>
      <c r="L316" s="2071"/>
      <c r="M316" s="2190" t="s">
        <v>3146</v>
      </c>
      <c r="N316" s="2163" t="s">
        <v>3181</v>
      </c>
      <c r="O316" s="2191">
        <v>0.3</v>
      </c>
      <c r="P316" s="2191">
        <f>O316*H316</f>
        <v>23.882699999999996</v>
      </c>
      <c r="Q316" s="2191">
        <v>2.47E-3</v>
      </c>
      <c r="R316" s="2191">
        <f>Q316*H316</f>
        <v>0.19663422999999999</v>
      </c>
      <c r="S316" s="2191">
        <v>0</v>
      </c>
      <c r="T316" s="2192">
        <f>S316*H316</f>
        <v>0</v>
      </c>
      <c r="AR316" s="2193" t="s">
        <v>856</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856</v>
      </c>
      <c r="BM316" s="2193" t="s">
        <v>3453</v>
      </c>
    </row>
    <row r="317" spans="2:65" s="2209" customFormat="1">
      <c r="B317" s="2210"/>
      <c r="D317" s="2197" t="s">
        <v>3303</v>
      </c>
      <c r="E317" s="2211" t="s">
        <v>3146</v>
      </c>
      <c r="F317" s="2212" t="s">
        <v>3454</v>
      </c>
      <c r="H317" s="2213">
        <v>1.141</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3455</v>
      </c>
      <c r="H318" s="2213">
        <v>8.7639999999999993</v>
      </c>
      <c r="L318" s="2210"/>
      <c r="M318" s="2214"/>
      <c r="T318" s="2215"/>
      <c r="AT318" s="2211" t="s">
        <v>3303</v>
      </c>
      <c r="AU318" s="2211" t="s">
        <v>134</v>
      </c>
      <c r="AV318" s="2209" t="s">
        <v>134</v>
      </c>
      <c r="AW318" s="2209" t="s">
        <v>3171</v>
      </c>
      <c r="AX318" s="2209" t="s">
        <v>3213</v>
      </c>
      <c r="AY318" s="2211" t="s">
        <v>3285</v>
      </c>
    </row>
    <row r="319" spans="2:65" s="2202" customFormat="1">
      <c r="B319" s="2203"/>
      <c r="D319" s="2197" t="s">
        <v>3303</v>
      </c>
      <c r="E319" s="2204" t="s">
        <v>3146</v>
      </c>
      <c r="F319" s="2205" t="s">
        <v>3305</v>
      </c>
      <c r="H319" s="2206">
        <v>9.9049999999999994</v>
      </c>
      <c r="L319" s="2203"/>
      <c r="M319" s="2207"/>
      <c r="T319" s="2208"/>
      <c r="AT319" s="2204" t="s">
        <v>3303</v>
      </c>
      <c r="AU319" s="2204" t="s">
        <v>134</v>
      </c>
      <c r="AV319" s="2202" t="s">
        <v>854</v>
      </c>
      <c r="AW319" s="2202" t="s">
        <v>3171</v>
      </c>
      <c r="AX319" s="2202" t="s">
        <v>3213</v>
      </c>
      <c r="AY319" s="2204" t="s">
        <v>3285</v>
      </c>
    </row>
    <row r="320" spans="2:65" s="2209" customFormat="1">
      <c r="B320" s="2210"/>
      <c r="D320" s="2197" t="s">
        <v>3303</v>
      </c>
      <c r="E320" s="2211" t="s">
        <v>3146</v>
      </c>
      <c r="F320" s="2212" t="s">
        <v>3456</v>
      </c>
      <c r="H320" s="2213">
        <v>1.708</v>
      </c>
      <c r="L320" s="2210"/>
      <c r="M320" s="2214"/>
      <c r="T320" s="2215"/>
      <c r="AT320" s="2211" t="s">
        <v>3303</v>
      </c>
      <c r="AU320" s="2211" t="s">
        <v>134</v>
      </c>
      <c r="AV320" s="2209" t="s">
        <v>134</v>
      </c>
      <c r="AW320" s="2209" t="s">
        <v>3171</v>
      </c>
      <c r="AX320" s="2209" t="s">
        <v>3213</v>
      </c>
      <c r="AY320" s="2211" t="s">
        <v>3285</v>
      </c>
    </row>
    <row r="321" spans="2:51" s="2209" customFormat="1">
      <c r="B321" s="2210"/>
      <c r="D321" s="2197" t="s">
        <v>3303</v>
      </c>
      <c r="E321" s="2211" t="s">
        <v>3146</v>
      </c>
      <c r="F321" s="2212" t="s">
        <v>3457</v>
      </c>
      <c r="H321" s="2213">
        <v>1.54</v>
      </c>
      <c r="L321" s="2210"/>
      <c r="M321" s="2214"/>
      <c r="T321" s="2215"/>
      <c r="AT321" s="2211" t="s">
        <v>3303</v>
      </c>
      <c r="AU321" s="2211" t="s">
        <v>134</v>
      </c>
      <c r="AV321" s="2209" t="s">
        <v>134</v>
      </c>
      <c r="AW321" s="2209" t="s">
        <v>3171</v>
      </c>
      <c r="AX321" s="2209" t="s">
        <v>3213</v>
      </c>
      <c r="AY321" s="2211" t="s">
        <v>3285</v>
      </c>
    </row>
    <row r="322" spans="2:51" s="2202" customFormat="1">
      <c r="B322" s="2203"/>
      <c r="D322" s="2197" t="s">
        <v>3303</v>
      </c>
      <c r="E322" s="2204" t="s">
        <v>3146</v>
      </c>
      <c r="F322" s="2205" t="s">
        <v>3305</v>
      </c>
      <c r="H322" s="2206">
        <v>3.2480000000000002</v>
      </c>
      <c r="L322" s="2203"/>
      <c r="M322" s="2207"/>
      <c r="T322" s="2208"/>
      <c r="AT322" s="2204" t="s">
        <v>3303</v>
      </c>
      <c r="AU322" s="2204" t="s">
        <v>134</v>
      </c>
      <c r="AV322" s="2202" t="s">
        <v>854</v>
      </c>
      <c r="AW322" s="2202" t="s">
        <v>3171</v>
      </c>
      <c r="AX322" s="2202" t="s">
        <v>3213</v>
      </c>
      <c r="AY322" s="2204" t="s">
        <v>3285</v>
      </c>
    </row>
    <row r="323" spans="2:51" s="2209" customFormat="1">
      <c r="B323" s="2210"/>
      <c r="D323" s="2197" t="s">
        <v>3303</v>
      </c>
      <c r="E323" s="2211" t="s">
        <v>3146</v>
      </c>
      <c r="F323" s="2212" t="s">
        <v>3456</v>
      </c>
      <c r="H323" s="2213">
        <v>1.708</v>
      </c>
      <c r="L323" s="2210"/>
      <c r="M323" s="2214"/>
      <c r="T323" s="2215"/>
      <c r="AT323" s="2211" t="s">
        <v>3303</v>
      </c>
      <c r="AU323" s="2211" t="s">
        <v>134</v>
      </c>
      <c r="AV323" s="2209" t="s">
        <v>134</v>
      </c>
      <c r="AW323" s="2209" t="s">
        <v>3171</v>
      </c>
      <c r="AX323" s="2209" t="s">
        <v>3213</v>
      </c>
      <c r="AY323" s="2211" t="s">
        <v>3285</v>
      </c>
    </row>
    <row r="324" spans="2:51" s="2209" customFormat="1">
      <c r="B324" s="2210"/>
      <c r="D324" s="2197" t="s">
        <v>3303</v>
      </c>
      <c r="E324" s="2211" t="s">
        <v>3146</v>
      </c>
      <c r="F324" s="2212" t="s">
        <v>3457</v>
      </c>
      <c r="H324" s="2213">
        <v>1.54</v>
      </c>
      <c r="L324" s="2210"/>
      <c r="M324" s="2214"/>
      <c r="T324" s="2215"/>
      <c r="AT324" s="2211" t="s">
        <v>3303</v>
      </c>
      <c r="AU324" s="2211" t="s">
        <v>134</v>
      </c>
      <c r="AV324" s="2209" t="s">
        <v>134</v>
      </c>
      <c r="AW324" s="2209" t="s">
        <v>3171</v>
      </c>
      <c r="AX324" s="2209" t="s">
        <v>3213</v>
      </c>
      <c r="AY324" s="2211" t="s">
        <v>3285</v>
      </c>
    </row>
    <row r="325" spans="2:51" s="2209" customFormat="1">
      <c r="B325" s="2210"/>
      <c r="D325" s="2197" t="s">
        <v>3303</v>
      </c>
      <c r="E325" s="2211" t="s">
        <v>3146</v>
      </c>
      <c r="F325" s="2212" t="s">
        <v>3458</v>
      </c>
      <c r="H325" s="2213">
        <v>6.125</v>
      </c>
      <c r="L325" s="2210"/>
      <c r="M325" s="2214"/>
      <c r="T325" s="2215"/>
      <c r="AT325" s="2211" t="s">
        <v>3303</v>
      </c>
      <c r="AU325" s="2211" t="s">
        <v>134</v>
      </c>
      <c r="AV325" s="2209" t="s">
        <v>134</v>
      </c>
      <c r="AW325" s="2209" t="s">
        <v>3171</v>
      </c>
      <c r="AX325" s="2209" t="s">
        <v>3213</v>
      </c>
      <c r="AY325" s="2211" t="s">
        <v>3285</v>
      </c>
    </row>
    <row r="326" spans="2:51" s="2209" customFormat="1">
      <c r="B326" s="2210"/>
      <c r="D326" s="2197" t="s">
        <v>3303</v>
      </c>
      <c r="E326" s="2211" t="s">
        <v>3146</v>
      </c>
      <c r="F326" s="2212" t="s">
        <v>3459</v>
      </c>
      <c r="H326" s="2213">
        <v>17.288</v>
      </c>
      <c r="L326" s="2210"/>
      <c r="M326" s="2214"/>
      <c r="T326" s="2215"/>
      <c r="AT326" s="2211" t="s">
        <v>3303</v>
      </c>
      <c r="AU326" s="2211" t="s">
        <v>134</v>
      </c>
      <c r="AV326" s="2209" t="s">
        <v>134</v>
      </c>
      <c r="AW326" s="2209" t="s">
        <v>3171</v>
      </c>
      <c r="AX326" s="2209" t="s">
        <v>3213</v>
      </c>
      <c r="AY326" s="2211" t="s">
        <v>3285</v>
      </c>
    </row>
    <row r="327" spans="2:51" s="2209" customFormat="1">
      <c r="B327" s="2210"/>
      <c r="D327" s="2197" t="s">
        <v>3303</v>
      </c>
      <c r="E327" s="2211" t="s">
        <v>3146</v>
      </c>
      <c r="F327" s="2212" t="s">
        <v>3460</v>
      </c>
      <c r="H327" s="2213">
        <v>3.1269999999999998</v>
      </c>
      <c r="L327" s="2210"/>
      <c r="M327" s="2214"/>
      <c r="T327" s="2215"/>
      <c r="AT327" s="2211" t="s">
        <v>3303</v>
      </c>
      <c r="AU327" s="2211" t="s">
        <v>134</v>
      </c>
      <c r="AV327" s="2209" t="s">
        <v>134</v>
      </c>
      <c r="AW327" s="2209" t="s">
        <v>3171</v>
      </c>
      <c r="AX327" s="2209" t="s">
        <v>3213</v>
      </c>
      <c r="AY327" s="2211" t="s">
        <v>3285</v>
      </c>
    </row>
    <row r="328" spans="2:51" s="2209" customFormat="1">
      <c r="B328" s="2210"/>
      <c r="D328" s="2197" t="s">
        <v>3303</v>
      </c>
      <c r="E328" s="2211" t="s">
        <v>3146</v>
      </c>
      <c r="F328" s="2212" t="s">
        <v>3461</v>
      </c>
      <c r="H328" s="2213">
        <v>5.2679999999999998</v>
      </c>
      <c r="L328" s="2210"/>
      <c r="M328" s="2214"/>
      <c r="T328" s="2215"/>
      <c r="AT328" s="2211" t="s">
        <v>3303</v>
      </c>
      <c r="AU328" s="2211" t="s">
        <v>134</v>
      </c>
      <c r="AV328" s="2209" t="s">
        <v>134</v>
      </c>
      <c r="AW328" s="2209" t="s">
        <v>3171</v>
      </c>
      <c r="AX328" s="2209" t="s">
        <v>3213</v>
      </c>
      <c r="AY328" s="2211" t="s">
        <v>3285</v>
      </c>
    </row>
    <row r="329" spans="2:51" s="2209" customFormat="1">
      <c r="B329" s="2210"/>
      <c r="D329" s="2197" t="s">
        <v>3303</v>
      </c>
      <c r="E329" s="2211" t="s">
        <v>3146</v>
      </c>
      <c r="F329" s="2212" t="s">
        <v>3462</v>
      </c>
      <c r="H329" s="2213">
        <v>0.78800000000000003</v>
      </c>
      <c r="L329" s="2210"/>
      <c r="M329" s="2214"/>
      <c r="T329" s="2215"/>
      <c r="AT329" s="2211" t="s">
        <v>3303</v>
      </c>
      <c r="AU329" s="2211" t="s">
        <v>134</v>
      </c>
      <c r="AV329" s="2209" t="s">
        <v>134</v>
      </c>
      <c r="AW329" s="2209" t="s">
        <v>3171</v>
      </c>
      <c r="AX329" s="2209" t="s">
        <v>3213</v>
      </c>
      <c r="AY329" s="2211" t="s">
        <v>3285</v>
      </c>
    </row>
    <row r="330" spans="2:51" s="2209" customFormat="1">
      <c r="B330" s="2210"/>
      <c r="D330" s="2197" t="s">
        <v>3303</v>
      </c>
      <c r="E330" s="2211" t="s">
        <v>3146</v>
      </c>
      <c r="F330" s="2212" t="s">
        <v>3463</v>
      </c>
      <c r="H330" s="2213">
        <v>5.9850000000000003</v>
      </c>
      <c r="L330" s="2210"/>
      <c r="M330" s="2214"/>
      <c r="T330" s="2215"/>
      <c r="AT330" s="2211" t="s">
        <v>3303</v>
      </c>
      <c r="AU330" s="2211" t="s">
        <v>134</v>
      </c>
      <c r="AV330" s="2209" t="s">
        <v>134</v>
      </c>
      <c r="AW330" s="2209" t="s">
        <v>3171</v>
      </c>
      <c r="AX330" s="2209" t="s">
        <v>3213</v>
      </c>
      <c r="AY330" s="2211" t="s">
        <v>3285</v>
      </c>
    </row>
    <row r="331" spans="2:51" s="2209" customFormat="1">
      <c r="B331" s="2210"/>
      <c r="D331" s="2197" t="s">
        <v>3303</v>
      </c>
      <c r="E331" s="2211" t="s">
        <v>3146</v>
      </c>
      <c r="F331" s="2212" t="s">
        <v>3464</v>
      </c>
      <c r="H331" s="2213">
        <v>7</v>
      </c>
      <c r="L331" s="2210"/>
      <c r="M331" s="2214"/>
      <c r="T331" s="2215"/>
      <c r="AT331" s="2211" t="s">
        <v>3303</v>
      </c>
      <c r="AU331" s="2211" t="s">
        <v>134</v>
      </c>
      <c r="AV331" s="2209" t="s">
        <v>134</v>
      </c>
      <c r="AW331" s="2209" t="s">
        <v>3171</v>
      </c>
      <c r="AX331" s="2209" t="s">
        <v>3213</v>
      </c>
      <c r="AY331" s="2211" t="s">
        <v>3285</v>
      </c>
    </row>
    <row r="332" spans="2:51" s="2209" customFormat="1">
      <c r="B332" s="2210"/>
      <c r="D332" s="2197" t="s">
        <v>3303</v>
      </c>
      <c r="E332" s="2211" t="s">
        <v>3146</v>
      </c>
      <c r="F332" s="2212" t="s">
        <v>3465</v>
      </c>
      <c r="H332" s="2213">
        <v>3.2730000000000001</v>
      </c>
      <c r="L332" s="2210"/>
      <c r="M332" s="2214"/>
      <c r="T332" s="2215"/>
      <c r="AT332" s="2211" t="s">
        <v>3303</v>
      </c>
      <c r="AU332" s="2211" t="s">
        <v>134</v>
      </c>
      <c r="AV332" s="2209" t="s">
        <v>134</v>
      </c>
      <c r="AW332" s="2209" t="s">
        <v>3171</v>
      </c>
      <c r="AX332" s="2209" t="s">
        <v>3213</v>
      </c>
      <c r="AY332" s="2211" t="s">
        <v>3285</v>
      </c>
    </row>
    <row r="333" spans="2:51" s="2209" customFormat="1">
      <c r="B333" s="2210"/>
      <c r="D333" s="2197" t="s">
        <v>3303</v>
      </c>
      <c r="E333" s="2211" t="s">
        <v>3146</v>
      </c>
      <c r="F333" s="2212" t="s">
        <v>3466</v>
      </c>
      <c r="H333" s="2213">
        <v>3.5350000000000001</v>
      </c>
      <c r="L333" s="2210"/>
      <c r="M333" s="2214"/>
      <c r="T333" s="2215"/>
      <c r="AT333" s="2211" t="s">
        <v>3303</v>
      </c>
      <c r="AU333" s="2211" t="s">
        <v>134</v>
      </c>
      <c r="AV333" s="2209" t="s">
        <v>134</v>
      </c>
      <c r="AW333" s="2209" t="s">
        <v>3171</v>
      </c>
      <c r="AX333" s="2209" t="s">
        <v>3213</v>
      </c>
      <c r="AY333" s="2211" t="s">
        <v>3285</v>
      </c>
    </row>
    <row r="334" spans="2:51" s="2209" customFormat="1">
      <c r="B334" s="2210"/>
      <c r="D334" s="2197" t="s">
        <v>3303</v>
      </c>
      <c r="E334" s="2211" t="s">
        <v>3146</v>
      </c>
      <c r="F334" s="2212" t="s">
        <v>3467</v>
      </c>
      <c r="H334" s="2213">
        <v>2.6949999999999998</v>
      </c>
      <c r="L334" s="2210"/>
      <c r="M334" s="2214"/>
      <c r="T334" s="2215"/>
      <c r="AT334" s="2211" t="s">
        <v>3303</v>
      </c>
      <c r="AU334" s="2211" t="s">
        <v>134</v>
      </c>
      <c r="AV334" s="2209" t="s">
        <v>134</v>
      </c>
      <c r="AW334" s="2209" t="s">
        <v>3171</v>
      </c>
      <c r="AX334" s="2209" t="s">
        <v>3213</v>
      </c>
      <c r="AY334" s="2211" t="s">
        <v>3285</v>
      </c>
    </row>
    <row r="335" spans="2:51" s="2202" customFormat="1">
      <c r="B335" s="2203"/>
      <c r="D335" s="2197" t="s">
        <v>3303</v>
      </c>
      <c r="E335" s="2204" t="s">
        <v>3146</v>
      </c>
      <c r="F335" s="2205" t="s">
        <v>3305</v>
      </c>
      <c r="H335" s="2206">
        <v>58.332000000000001</v>
      </c>
      <c r="L335" s="2203"/>
      <c r="M335" s="2207"/>
      <c r="T335" s="2208"/>
      <c r="AT335" s="2204" t="s">
        <v>3303</v>
      </c>
      <c r="AU335" s="2204" t="s">
        <v>134</v>
      </c>
      <c r="AV335" s="2202" t="s">
        <v>854</v>
      </c>
      <c r="AW335" s="2202" t="s">
        <v>3171</v>
      </c>
      <c r="AX335" s="2202" t="s">
        <v>3213</v>
      </c>
      <c r="AY335" s="2204" t="s">
        <v>3285</v>
      </c>
    </row>
    <row r="336" spans="2:51" s="2209" customFormat="1">
      <c r="B336" s="2210"/>
      <c r="D336" s="2197" t="s">
        <v>3303</v>
      </c>
      <c r="E336" s="2211" t="s">
        <v>3146</v>
      </c>
      <c r="F336" s="2212" t="s">
        <v>3468</v>
      </c>
      <c r="H336" s="2213">
        <v>8.1240000000000006</v>
      </c>
      <c r="L336" s="2210"/>
      <c r="M336" s="2214"/>
      <c r="T336" s="2215"/>
      <c r="AT336" s="2211" t="s">
        <v>3303</v>
      </c>
      <c r="AU336" s="2211" t="s">
        <v>134</v>
      </c>
      <c r="AV336" s="2209" t="s">
        <v>134</v>
      </c>
      <c r="AW336" s="2209" t="s">
        <v>3171</v>
      </c>
      <c r="AX336" s="2209" t="s">
        <v>3213</v>
      </c>
      <c r="AY336" s="2211" t="s">
        <v>3285</v>
      </c>
    </row>
    <row r="337" spans="2:65" s="2202" customFormat="1">
      <c r="B337" s="2203"/>
      <c r="D337" s="2197" t="s">
        <v>3303</v>
      </c>
      <c r="E337" s="2204" t="s">
        <v>3146</v>
      </c>
      <c r="F337" s="2205" t="s">
        <v>3305</v>
      </c>
      <c r="H337" s="2206">
        <v>8.1240000000000006</v>
      </c>
      <c r="L337" s="2203"/>
      <c r="M337" s="2207"/>
      <c r="T337" s="2208"/>
      <c r="AT337" s="2204" t="s">
        <v>3303</v>
      </c>
      <c r="AU337" s="2204" t="s">
        <v>134</v>
      </c>
      <c r="AV337" s="2202" t="s">
        <v>854</v>
      </c>
      <c r="AW337" s="2202" t="s">
        <v>3171</v>
      </c>
      <c r="AX337" s="2202" t="s">
        <v>3213</v>
      </c>
      <c r="AY337" s="2204" t="s">
        <v>3285</v>
      </c>
    </row>
    <row r="338" spans="2:65" s="2216" customFormat="1">
      <c r="B338" s="2217"/>
      <c r="D338" s="2197" t="s">
        <v>3303</v>
      </c>
      <c r="E338" s="2218" t="s">
        <v>3146</v>
      </c>
      <c r="F338" s="2219" t="s">
        <v>3306</v>
      </c>
      <c r="H338" s="2220">
        <v>79.608999999999995</v>
      </c>
      <c r="L338" s="2217"/>
      <c r="M338" s="2221"/>
      <c r="T338" s="2222"/>
      <c r="AT338" s="2218" t="s">
        <v>3303</v>
      </c>
      <c r="AU338" s="2218" t="s">
        <v>134</v>
      </c>
      <c r="AV338" s="2216" t="s">
        <v>856</v>
      </c>
      <c r="AW338" s="2216" t="s">
        <v>3171</v>
      </c>
      <c r="AX338" s="2216" t="s">
        <v>133</v>
      </c>
      <c r="AY338" s="2218" t="s">
        <v>3285</v>
      </c>
    </row>
    <row r="339" spans="2:65" s="2070" customFormat="1" ht="16.5" customHeight="1">
      <c r="B339" s="2164"/>
      <c r="C339" s="4608">
        <v>47</v>
      </c>
      <c r="D339" s="4608" t="s">
        <v>3286</v>
      </c>
      <c r="E339" s="4609" t="s">
        <v>3469</v>
      </c>
      <c r="F339" s="4610" t="s">
        <v>3470</v>
      </c>
      <c r="G339" s="4611" t="s">
        <v>611</v>
      </c>
      <c r="H339" s="4612">
        <v>79.608999999999995</v>
      </c>
      <c r="I339" s="4613"/>
      <c r="J339" s="4613">
        <f>ROUND(I339*H339,2)</f>
        <v>0</v>
      </c>
      <c r="K339" s="4610" t="s">
        <v>142</v>
      </c>
      <c r="L339" s="2071"/>
      <c r="M339" s="2190" t="s">
        <v>3146</v>
      </c>
      <c r="N339" s="2163" t="s">
        <v>3181</v>
      </c>
      <c r="O339" s="2191">
        <v>0.152</v>
      </c>
      <c r="P339" s="2191">
        <f>O339*H339</f>
        <v>12.100567999999999</v>
      </c>
      <c r="Q339" s="2191">
        <v>0</v>
      </c>
      <c r="R339" s="2191">
        <f>Q339*H339</f>
        <v>0</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3471</v>
      </c>
    </row>
    <row r="340" spans="2:65" s="2070" customFormat="1" ht="21.75" customHeight="1">
      <c r="B340" s="2164"/>
      <c r="C340" s="5561" t="s">
        <v>2705</v>
      </c>
      <c r="D340" s="5561" t="s">
        <v>3286</v>
      </c>
      <c r="E340" s="5567" t="s">
        <v>5974</v>
      </c>
      <c r="F340" s="5566" t="s">
        <v>5975</v>
      </c>
      <c r="G340" s="5570" t="s">
        <v>302</v>
      </c>
      <c r="H340" s="5568">
        <f>H341</f>
        <v>38.403860000000002</v>
      </c>
      <c r="I340" s="5571"/>
      <c r="J340" s="5571">
        <f>ROUND(I340*H340,2)</f>
        <v>0</v>
      </c>
      <c r="K340" s="5566" t="s">
        <v>142</v>
      </c>
      <c r="L340" s="2071"/>
      <c r="M340" s="2190" t="s">
        <v>3146</v>
      </c>
      <c r="N340" s="2163" t="s">
        <v>3181</v>
      </c>
      <c r="O340" s="2191">
        <v>23.968</v>
      </c>
      <c r="P340" s="2191">
        <f>O340*H340</f>
        <v>920.46371648000002</v>
      </c>
      <c r="Q340" s="2191">
        <v>1.0606199999999999</v>
      </c>
      <c r="R340" s="2191">
        <f>Q340*H340</f>
        <v>40.731901993199997</v>
      </c>
      <c r="S340" s="2191">
        <v>0</v>
      </c>
      <c r="T340" s="2192">
        <f>S340*H340</f>
        <v>0</v>
      </c>
      <c r="AR340" s="2193" t="s">
        <v>856</v>
      </c>
      <c r="AT340" s="2193" t="s">
        <v>3286</v>
      </c>
      <c r="AU340" s="2193" t="s">
        <v>134</v>
      </c>
      <c r="AY340" s="2056" t="s">
        <v>3285</v>
      </c>
      <c r="BE340" s="2194">
        <f>IF(N340="základní",J340,0)</f>
        <v>0</v>
      </c>
      <c r="BF340" s="2194">
        <f>IF(N340="snížená",J340,0)</f>
        <v>0</v>
      </c>
      <c r="BG340" s="2194">
        <f>IF(N340="zákl. přenesená",J340,0)</f>
        <v>0</v>
      </c>
      <c r="BH340" s="2194">
        <f>IF(N340="sníž. přenesená",J340,0)</f>
        <v>0</v>
      </c>
      <c r="BI340" s="2194">
        <f>IF(N340="nulová",J340,0)</f>
        <v>0</v>
      </c>
      <c r="BJ340" s="2056" t="s">
        <v>134</v>
      </c>
      <c r="BK340" s="2194">
        <f>ROUND(I340*H340,2)</f>
        <v>0</v>
      </c>
      <c r="BL340" s="2056" t="s">
        <v>856</v>
      </c>
      <c r="BM340" s="2193" t="s">
        <v>3490</v>
      </c>
    </row>
    <row r="341" spans="2:65" s="2209" customFormat="1">
      <c r="B341" s="2210"/>
      <c r="D341" s="2197" t="s">
        <v>3303</v>
      </c>
      <c r="E341" s="2211" t="s">
        <v>3146</v>
      </c>
      <c r="F341" s="5560" t="s">
        <v>11626</v>
      </c>
      <c r="H341" s="5569">
        <f>(349.126)*110*0.001</f>
        <v>38.403860000000002</v>
      </c>
      <c r="L341" s="2210"/>
      <c r="M341" s="2214"/>
      <c r="T341" s="2215"/>
      <c r="AT341" s="2211" t="s">
        <v>3303</v>
      </c>
      <c r="AU341" s="2211" t="s">
        <v>134</v>
      </c>
      <c r="AV341" s="2209" t="s">
        <v>134</v>
      </c>
      <c r="AW341" s="2209" t="s">
        <v>3171</v>
      </c>
      <c r="AX341" s="2209" t="s">
        <v>133</v>
      </c>
      <c r="AY341" s="2211" t="s">
        <v>3285</v>
      </c>
    </row>
    <row r="342" spans="2:65" s="2070" customFormat="1" ht="27" customHeight="1">
      <c r="B342" s="2164"/>
      <c r="C342" s="5561" t="s">
        <v>2706</v>
      </c>
      <c r="D342" s="4608" t="s">
        <v>3286</v>
      </c>
      <c r="E342" s="5567" t="s">
        <v>11689</v>
      </c>
      <c r="F342" s="5566" t="s">
        <v>11656</v>
      </c>
      <c r="G342" s="5570" t="s">
        <v>221</v>
      </c>
      <c r="H342" s="5568">
        <f>SUM(H344:H345)</f>
        <v>3.6163600000000002</v>
      </c>
      <c r="I342" s="5571"/>
      <c r="J342" s="5571">
        <f>ROUND(I342*H342,2)</f>
        <v>0</v>
      </c>
      <c r="K342" s="5566" t="s">
        <v>142</v>
      </c>
      <c r="L342" s="2071"/>
      <c r="M342" s="2190" t="s">
        <v>3146</v>
      </c>
      <c r="N342" s="2163" t="s">
        <v>3181</v>
      </c>
      <c r="O342" s="2191">
        <v>0.247</v>
      </c>
      <c r="P342" s="2191">
        <f>O342*H342</f>
        <v>0.8932409200000001</v>
      </c>
      <c r="Q342" s="2191">
        <v>2.6900000000000001E-3</v>
      </c>
      <c r="R342" s="2191">
        <f>Q342*H342</f>
        <v>9.7280084000000017E-3</v>
      </c>
      <c r="S342" s="2191">
        <v>0</v>
      </c>
      <c r="T342" s="2192">
        <f>S342*H342</f>
        <v>0</v>
      </c>
      <c r="AR342" s="2193" t="s">
        <v>856</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856</v>
      </c>
      <c r="BM342" s="2193" t="s">
        <v>3475</v>
      </c>
    </row>
    <row r="343" spans="2:65" s="2195" customFormat="1">
      <c r="B343" s="2196"/>
      <c r="D343" s="2197" t="s">
        <v>3303</v>
      </c>
      <c r="E343" s="2198" t="s">
        <v>3146</v>
      </c>
      <c r="F343" s="2199" t="s">
        <v>11657</v>
      </c>
      <c r="H343" s="2198" t="s">
        <v>3146</v>
      </c>
      <c r="L343" s="2196"/>
      <c r="M343" s="2200"/>
      <c r="T343" s="2201"/>
      <c r="AT343" s="2198" t="s">
        <v>3303</v>
      </c>
      <c r="AU343" s="2198" t="s">
        <v>134</v>
      </c>
      <c r="AV343" s="2195" t="s">
        <v>133</v>
      </c>
      <c r="AW343" s="2195" t="s">
        <v>3171</v>
      </c>
      <c r="AX343" s="2195" t="s">
        <v>3213</v>
      </c>
      <c r="AY343" s="2198" t="s">
        <v>3285</v>
      </c>
    </row>
    <row r="344" spans="2:65" s="2209" customFormat="1">
      <c r="B344" s="2210"/>
      <c r="D344" s="2197" t="s">
        <v>3303</v>
      </c>
      <c r="E344" s="2211" t="s">
        <v>3146</v>
      </c>
      <c r="F344" s="5560" t="s">
        <v>11658</v>
      </c>
      <c r="G344" s="5574"/>
      <c r="H344" s="5569">
        <f>(0.4*(2.25+3.969)*1)*1.1</f>
        <v>2.7363600000000003</v>
      </c>
      <c r="L344" s="2210"/>
      <c r="M344" s="2214"/>
      <c r="T344" s="2215"/>
      <c r="AT344" s="2211" t="s">
        <v>3303</v>
      </c>
      <c r="AU344" s="2211" t="s">
        <v>134</v>
      </c>
      <c r="AV344" s="2209" t="s">
        <v>134</v>
      </c>
      <c r="AW344" s="2209" t="s">
        <v>3171</v>
      </c>
      <c r="AX344" s="2209" t="s">
        <v>3213</v>
      </c>
      <c r="AY344" s="2211" t="s">
        <v>3285</v>
      </c>
    </row>
    <row r="345" spans="2:65" s="2209" customFormat="1">
      <c r="B345" s="2210"/>
      <c r="D345" s="2197" t="s">
        <v>3303</v>
      </c>
      <c r="E345" s="2211" t="s">
        <v>3146</v>
      </c>
      <c r="F345" s="5560" t="s">
        <v>11659</v>
      </c>
      <c r="G345" s="5574"/>
      <c r="H345" s="5569">
        <f>(0.4*2*1)*1.1</f>
        <v>0.88000000000000012</v>
      </c>
      <c r="L345" s="2210"/>
      <c r="M345" s="2214"/>
      <c r="T345" s="2215"/>
      <c r="AT345" s="2211" t="s">
        <v>3303</v>
      </c>
      <c r="AU345" s="2211" t="s">
        <v>134</v>
      </c>
      <c r="AV345" s="2209" t="s">
        <v>134</v>
      </c>
      <c r="AW345" s="2209" t="s">
        <v>3171</v>
      </c>
      <c r="AX345" s="2209" t="s">
        <v>3213</v>
      </c>
      <c r="AY345" s="2211" t="s">
        <v>3285</v>
      </c>
    </row>
    <row r="346" spans="2:65" s="2070" customFormat="1" ht="16.5" customHeight="1">
      <c r="B346" s="2164"/>
      <c r="C346" s="4608">
        <v>48</v>
      </c>
      <c r="D346" s="4608" t="s">
        <v>3286</v>
      </c>
      <c r="E346" s="4609" t="s">
        <v>3473</v>
      </c>
      <c r="F346" s="4610" t="s">
        <v>3474</v>
      </c>
      <c r="G346" s="4611" t="s">
        <v>611</v>
      </c>
      <c r="H346" s="4612">
        <v>6.4850000000000003</v>
      </c>
      <c r="I346" s="4613"/>
      <c r="J346" s="4613">
        <f>ROUND(I346*H346,2)</f>
        <v>0</v>
      </c>
      <c r="K346" s="4610"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195" customFormat="1">
      <c r="B347" s="2196"/>
      <c r="D347" s="2197" t="s">
        <v>3303</v>
      </c>
      <c r="E347" s="2198" t="s">
        <v>3146</v>
      </c>
      <c r="F347" s="2199" t="s">
        <v>3476</v>
      </c>
      <c r="H347" s="2198" t="s">
        <v>3146</v>
      </c>
      <c r="L347" s="2196"/>
      <c r="M347" s="2200"/>
      <c r="T347" s="2201"/>
      <c r="AT347" s="2198" t="s">
        <v>3303</v>
      </c>
      <c r="AU347" s="2198" t="s">
        <v>134</v>
      </c>
      <c r="AV347" s="2195" t="s">
        <v>133</v>
      </c>
      <c r="AW347" s="2195" t="s">
        <v>3171</v>
      </c>
      <c r="AX347" s="2195" t="s">
        <v>3213</v>
      </c>
      <c r="AY347" s="2198" t="s">
        <v>3285</v>
      </c>
    </row>
    <row r="348" spans="2:65" s="2209" customFormat="1">
      <c r="B348" s="2210"/>
      <c r="D348" s="2197" t="s">
        <v>3303</v>
      </c>
      <c r="E348" s="2211" t="s">
        <v>3146</v>
      </c>
      <c r="F348" s="2212" t="s">
        <v>3477</v>
      </c>
      <c r="H348" s="2213">
        <v>0.14000000000000001</v>
      </c>
      <c r="L348" s="2210"/>
      <c r="M348" s="2214"/>
      <c r="T348" s="2215"/>
      <c r="AT348" s="2211" t="s">
        <v>3303</v>
      </c>
      <c r="AU348" s="2211" t="s">
        <v>134</v>
      </c>
      <c r="AV348" s="2209" t="s">
        <v>134</v>
      </c>
      <c r="AW348" s="2209" t="s">
        <v>3171</v>
      </c>
      <c r="AX348" s="2209" t="s">
        <v>3213</v>
      </c>
      <c r="AY348" s="2211" t="s">
        <v>3285</v>
      </c>
    </row>
    <row r="349" spans="2:65" s="2209" customFormat="1">
      <c r="B349" s="2210"/>
      <c r="D349" s="2197" t="s">
        <v>3303</v>
      </c>
      <c r="E349" s="2211" t="s">
        <v>3146</v>
      </c>
      <c r="F349" s="2212" t="s">
        <v>3478</v>
      </c>
      <c r="H349" s="2213">
        <v>0.15</v>
      </c>
      <c r="L349" s="2210"/>
      <c r="M349" s="2214"/>
      <c r="T349" s="2215"/>
      <c r="AT349" s="2211" t="s">
        <v>3303</v>
      </c>
      <c r="AU349" s="2211" t="s">
        <v>134</v>
      </c>
      <c r="AV349" s="2209" t="s">
        <v>134</v>
      </c>
      <c r="AW349" s="2209" t="s">
        <v>3171</v>
      </c>
      <c r="AX349" s="2209" t="s">
        <v>3213</v>
      </c>
      <c r="AY349" s="2211" t="s">
        <v>3285</v>
      </c>
    </row>
    <row r="350" spans="2:65" s="2209" customFormat="1">
      <c r="B350" s="2210"/>
      <c r="D350" s="2197" t="s">
        <v>3303</v>
      </c>
      <c r="E350" s="2211" t="s">
        <v>3146</v>
      </c>
      <c r="F350" s="2212" t="s">
        <v>3479</v>
      </c>
      <c r="H350" s="2213">
        <v>7.4999999999999997E-2</v>
      </c>
      <c r="L350" s="2210"/>
      <c r="M350" s="2214"/>
      <c r="T350" s="2215"/>
      <c r="AT350" s="2211" t="s">
        <v>3303</v>
      </c>
      <c r="AU350" s="2211" t="s">
        <v>134</v>
      </c>
      <c r="AV350" s="2209" t="s">
        <v>134</v>
      </c>
      <c r="AW350" s="2209" t="s">
        <v>3171</v>
      </c>
      <c r="AX350" s="2209" t="s">
        <v>3213</v>
      </c>
      <c r="AY350" s="2211" t="s">
        <v>3285</v>
      </c>
    </row>
    <row r="351" spans="2:65" s="2209" customFormat="1">
      <c r="B351" s="2210"/>
      <c r="D351" s="2197" t="s">
        <v>3303</v>
      </c>
      <c r="E351" s="2211" t="s">
        <v>3146</v>
      </c>
      <c r="F351" s="2212" t="s">
        <v>3480</v>
      </c>
      <c r="H351" s="2213">
        <v>6.12</v>
      </c>
      <c r="L351" s="2210"/>
      <c r="M351" s="2214"/>
      <c r="T351" s="2215"/>
      <c r="AT351" s="2211" t="s">
        <v>3303</v>
      </c>
      <c r="AU351" s="2211" t="s">
        <v>134</v>
      </c>
      <c r="AV351" s="2209" t="s">
        <v>134</v>
      </c>
      <c r="AW351" s="2209" t="s">
        <v>3171</v>
      </c>
      <c r="AX351" s="2209" t="s">
        <v>3213</v>
      </c>
      <c r="AY351" s="2211" t="s">
        <v>3285</v>
      </c>
    </row>
    <row r="352" spans="2:65" s="2202" customFormat="1">
      <c r="B352" s="2203"/>
      <c r="D352" s="2197" t="s">
        <v>3303</v>
      </c>
      <c r="E352" s="2204" t="s">
        <v>3146</v>
      </c>
      <c r="F352" s="2205" t="s">
        <v>3305</v>
      </c>
      <c r="H352" s="2206">
        <v>6.4850000000000003</v>
      </c>
      <c r="L352" s="2203"/>
      <c r="M352" s="2207"/>
      <c r="T352" s="2208"/>
      <c r="AT352" s="2204" t="s">
        <v>3303</v>
      </c>
      <c r="AU352" s="2204" t="s">
        <v>134</v>
      </c>
      <c r="AV352" s="2202" t="s">
        <v>854</v>
      </c>
      <c r="AW352" s="2202" t="s">
        <v>3171</v>
      </c>
      <c r="AX352" s="2202" t="s">
        <v>133</v>
      </c>
      <c r="AY352" s="2204" t="s">
        <v>3285</v>
      </c>
    </row>
    <row r="353" spans="2:65" s="2070" customFormat="1" ht="16.5" customHeight="1">
      <c r="B353" s="2164"/>
      <c r="C353" s="5561" t="s">
        <v>2420</v>
      </c>
      <c r="D353" s="5561" t="s">
        <v>3286</v>
      </c>
      <c r="E353" s="5567" t="s">
        <v>5984</v>
      </c>
      <c r="F353" s="5566" t="s">
        <v>5985</v>
      </c>
      <c r="G353" s="5570" t="s">
        <v>611</v>
      </c>
      <c r="H353" s="5568">
        <f>H346</f>
        <v>6.4850000000000003</v>
      </c>
      <c r="I353" s="5571"/>
      <c r="J353" s="5571">
        <f>ROUND(I353*H353,2)</f>
        <v>0</v>
      </c>
      <c r="K353" s="5566" t="s">
        <v>142</v>
      </c>
      <c r="L353" s="2071"/>
      <c r="M353" s="2190" t="s">
        <v>3146</v>
      </c>
      <c r="N353" s="2163" t="s">
        <v>3181</v>
      </c>
      <c r="O353" s="2191">
        <v>0.247</v>
      </c>
      <c r="P353" s="2191">
        <f>O353*H353</f>
        <v>1.6017950000000001</v>
      </c>
      <c r="Q353" s="2191">
        <v>2.6900000000000001E-3</v>
      </c>
      <c r="R353" s="2191">
        <f>Q353*H353</f>
        <v>1.7444650000000003E-2</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3475</v>
      </c>
    </row>
    <row r="354" spans="2:65" s="2070" customFormat="1" ht="21.75" customHeight="1">
      <c r="B354" s="2164"/>
      <c r="C354" s="5561" t="s">
        <v>2421</v>
      </c>
      <c r="D354" s="5561" t="s">
        <v>3286</v>
      </c>
      <c r="E354" s="5567" t="s">
        <v>11669</v>
      </c>
      <c r="F354" s="5566" t="s">
        <v>11670</v>
      </c>
      <c r="G354" s="5570" t="s">
        <v>302</v>
      </c>
      <c r="H354" s="5568">
        <f>H355</f>
        <v>0.18080000000000002</v>
      </c>
      <c r="I354" s="5571"/>
      <c r="J354" s="5571">
        <f>ROUND(I354*H354,2)</f>
        <v>0</v>
      </c>
      <c r="K354" s="5566" t="s">
        <v>142</v>
      </c>
      <c r="L354" s="2071"/>
      <c r="M354" s="2190" t="s">
        <v>3146</v>
      </c>
      <c r="N354" s="2163" t="s">
        <v>3181</v>
      </c>
      <c r="O354" s="2191">
        <v>23.968</v>
      </c>
      <c r="P354" s="2191">
        <f>O354*H354</f>
        <v>4.3334144000000006</v>
      </c>
      <c r="Q354" s="2191">
        <v>1.0606199999999999</v>
      </c>
      <c r="R354" s="2191">
        <f>Q354*H354</f>
        <v>0.19176009599999999</v>
      </c>
      <c r="S354" s="2191">
        <v>0</v>
      </c>
      <c r="T354" s="2192">
        <f>S354*H354</f>
        <v>0</v>
      </c>
      <c r="AR354" s="2193" t="s">
        <v>856</v>
      </c>
      <c r="AT354" s="2193" t="s">
        <v>3286</v>
      </c>
      <c r="AU354" s="2193" t="s">
        <v>134</v>
      </c>
      <c r="AY354" s="2056" t="s">
        <v>3285</v>
      </c>
      <c r="BE354" s="2194">
        <f>IF(N354="základní",J354,0)</f>
        <v>0</v>
      </c>
      <c r="BF354" s="2194">
        <f>IF(N354="snížená",J354,0)</f>
        <v>0</v>
      </c>
      <c r="BG354" s="2194">
        <f>IF(N354="zákl. přenesená",J354,0)</f>
        <v>0</v>
      </c>
      <c r="BH354" s="2194">
        <f>IF(N354="sníž. přenesená",J354,0)</f>
        <v>0</v>
      </c>
      <c r="BI354" s="2194">
        <f>IF(N354="nulová",J354,0)</f>
        <v>0</v>
      </c>
      <c r="BJ354" s="2056" t="s">
        <v>134</v>
      </c>
      <c r="BK354" s="2194">
        <f>ROUND(I354*H354,2)</f>
        <v>0</v>
      </c>
      <c r="BL354" s="2056" t="s">
        <v>856</v>
      </c>
      <c r="BM354" s="2193" t="s">
        <v>3490</v>
      </c>
    </row>
    <row r="355" spans="2:65" s="2209" customFormat="1">
      <c r="B355" s="2210"/>
      <c r="D355" s="2197" t="s">
        <v>3303</v>
      </c>
      <c r="E355" s="2211" t="s">
        <v>3146</v>
      </c>
      <c r="F355" s="5560" t="s">
        <v>11691</v>
      </c>
      <c r="H355" s="5569">
        <f>(3.616)*50*0.001</f>
        <v>0.18080000000000002</v>
      </c>
      <c r="L355" s="2210"/>
      <c r="M355" s="2214"/>
      <c r="T355" s="2215"/>
      <c r="AT355" s="2211" t="s">
        <v>3303</v>
      </c>
      <c r="AU355" s="2211" t="s">
        <v>134</v>
      </c>
      <c r="AV355" s="2209" t="s">
        <v>134</v>
      </c>
      <c r="AW355" s="2209" t="s">
        <v>3171</v>
      </c>
      <c r="AX355" s="2209" t="s">
        <v>133</v>
      </c>
      <c r="AY355" s="2211" t="s">
        <v>3285</v>
      </c>
    </row>
    <row r="356" spans="2:65" s="2070" customFormat="1" ht="24.2" customHeight="1">
      <c r="B356" s="2164"/>
      <c r="C356" s="5561">
        <v>49</v>
      </c>
      <c r="D356" s="4608" t="s">
        <v>3286</v>
      </c>
      <c r="E356" s="5567" t="s">
        <v>11624</v>
      </c>
      <c r="F356" s="5566" t="s">
        <v>11625</v>
      </c>
      <c r="G356" s="4611" t="s">
        <v>221</v>
      </c>
      <c r="H356" s="4612">
        <v>3.36</v>
      </c>
      <c r="I356" s="4613"/>
      <c r="J356" s="4613">
        <f>ROUND(I356*H356,2)</f>
        <v>0</v>
      </c>
      <c r="K356" s="4610" t="s">
        <v>142</v>
      </c>
      <c r="L356" s="2071"/>
      <c r="M356" s="2190" t="s">
        <v>3146</v>
      </c>
      <c r="N356" s="2163" t="s">
        <v>3181</v>
      </c>
      <c r="O356" s="2191">
        <v>0.629</v>
      </c>
      <c r="P356" s="2191">
        <f>O356*H356</f>
        <v>2.1134399999999998</v>
      </c>
      <c r="Q356" s="2191">
        <v>2.5018699999999998</v>
      </c>
      <c r="R356" s="2191">
        <f>Q356*H356</f>
        <v>8.406283199999999</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3481</v>
      </c>
    </row>
    <row r="357" spans="2:65" s="2209" customFormat="1">
      <c r="B357" s="2210"/>
      <c r="D357" s="2197" t="s">
        <v>3303</v>
      </c>
      <c r="E357" s="2211" t="s">
        <v>3146</v>
      </c>
      <c r="F357" s="2212" t="s">
        <v>3312</v>
      </c>
      <c r="H357" s="2213">
        <v>3.36</v>
      </c>
      <c r="L357" s="2210"/>
      <c r="M357" s="2214"/>
      <c r="T357" s="2215"/>
      <c r="AT357" s="2211" t="s">
        <v>3303</v>
      </c>
      <c r="AU357" s="2211" t="s">
        <v>134</v>
      </c>
      <c r="AV357" s="2209" t="s">
        <v>134</v>
      </c>
      <c r="AW357" s="2209" t="s">
        <v>3171</v>
      </c>
      <c r="AX357" s="2209" t="s">
        <v>133</v>
      </c>
      <c r="AY357" s="2211" t="s">
        <v>3285</v>
      </c>
    </row>
    <row r="358" spans="2:65" s="2070" customFormat="1" ht="16.5" customHeight="1">
      <c r="B358" s="2164"/>
      <c r="C358" s="4608">
        <v>50</v>
      </c>
      <c r="D358" s="4608" t="s">
        <v>3286</v>
      </c>
      <c r="E358" s="4609" t="s">
        <v>3483</v>
      </c>
      <c r="F358" s="4610" t="s">
        <v>2276</v>
      </c>
      <c r="G358" s="4611" t="s">
        <v>611</v>
      </c>
      <c r="H358" s="4612">
        <v>10.4</v>
      </c>
      <c r="I358" s="4613"/>
      <c r="J358" s="4613">
        <f>ROUND(I358*H358,2)</f>
        <v>0</v>
      </c>
      <c r="K358" s="4610" t="s">
        <v>142</v>
      </c>
      <c r="L358" s="2071"/>
      <c r="M358" s="2190" t="s">
        <v>3146</v>
      </c>
      <c r="N358" s="2163" t="s">
        <v>3181</v>
      </c>
      <c r="O358" s="2191">
        <v>0.27400000000000002</v>
      </c>
      <c r="P358" s="2191">
        <f>O358*H358</f>
        <v>2.8496000000000001</v>
      </c>
      <c r="Q358" s="2191">
        <v>2.64E-3</v>
      </c>
      <c r="R358" s="2191">
        <f>Q358*H358</f>
        <v>2.7456000000000001E-2</v>
      </c>
      <c r="S358" s="2191">
        <v>0</v>
      </c>
      <c r="T358" s="2192">
        <f>S358*H358</f>
        <v>0</v>
      </c>
      <c r="AR358" s="2193" t="s">
        <v>856</v>
      </c>
      <c r="AT358" s="2193" t="s">
        <v>3286</v>
      </c>
      <c r="AU358" s="2193" t="s">
        <v>134</v>
      </c>
      <c r="AY358" s="2056" t="s">
        <v>3285</v>
      </c>
      <c r="BE358" s="2194">
        <f>IF(N358="základní",J358,0)</f>
        <v>0</v>
      </c>
      <c r="BF358" s="2194">
        <f>IF(N358="snížená",J358,0)</f>
        <v>0</v>
      </c>
      <c r="BG358" s="2194">
        <f>IF(N358="zákl. přenesená",J358,0)</f>
        <v>0</v>
      </c>
      <c r="BH358" s="2194">
        <f>IF(N358="sníž. přenesená",J358,0)</f>
        <v>0</v>
      </c>
      <c r="BI358" s="2194">
        <f>IF(N358="nulová",J358,0)</f>
        <v>0</v>
      </c>
      <c r="BJ358" s="2056" t="s">
        <v>134</v>
      </c>
      <c r="BK358" s="2194">
        <f>ROUND(I358*H358,2)</f>
        <v>0</v>
      </c>
      <c r="BL358" s="2056" t="s">
        <v>856</v>
      </c>
      <c r="BM358" s="2193" t="s">
        <v>3484</v>
      </c>
    </row>
    <row r="359" spans="2:65" s="2070" customFormat="1" ht="16.5" customHeight="1">
      <c r="B359" s="2164"/>
      <c r="C359" s="4608">
        <v>51</v>
      </c>
      <c r="D359" s="4608" t="s">
        <v>3286</v>
      </c>
      <c r="E359" s="4609" t="s">
        <v>3486</v>
      </c>
      <c r="F359" s="4610" t="s">
        <v>2278</v>
      </c>
      <c r="G359" s="4611" t="s">
        <v>611</v>
      </c>
      <c r="H359" s="4612">
        <v>10.4</v>
      </c>
      <c r="I359" s="4613"/>
      <c r="J359" s="4613">
        <f>ROUND(I359*H359,2)</f>
        <v>0</v>
      </c>
      <c r="K359" s="4610" t="s">
        <v>142</v>
      </c>
      <c r="L359" s="2071"/>
      <c r="M359" s="2190" t="s">
        <v>3146</v>
      </c>
      <c r="N359" s="2163" t="s">
        <v>3181</v>
      </c>
      <c r="O359" s="2191">
        <v>9.1999999999999998E-2</v>
      </c>
      <c r="P359" s="2191">
        <f>O359*H359</f>
        <v>0.95679999999999998</v>
      </c>
      <c r="Q359" s="2191">
        <v>0</v>
      </c>
      <c r="R359" s="2191">
        <f>Q359*H359</f>
        <v>0</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3487</v>
      </c>
    </row>
    <row r="360" spans="2:65" s="2070" customFormat="1" ht="21.75" customHeight="1">
      <c r="B360" s="2164"/>
      <c r="C360" s="4608">
        <v>52</v>
      </c>
      <c r="D360" s="4608" t="s">
        <v>3286</v>
      </c>
      <c r="E360" s="4609" t="s">
        <v>3488</v>
      </c>
      <c r="F360" s="4610" t="s">
        <v>3489</v>
      </c>
      <c r="G360" s="4611" t="s">
        <v>302</v>
      </c>
      <c r="H360" s="4612">
        <v>0.16800000000000001</v>
      </c>
      <c r="I360" s="4613"/>
      <c r="J360" s="4613">
        <f>ROUND(I360*H360,2)</f>
        <v>0</v>
      </c>
      <c r="K360" s="4610" t="s">
        <v>142</v>
      </c>
      <c r="L360" s="2071"/>
      <c r="M360" s="2190" t="s">
        <v>3146</v>
      </c>
      <c r="N360" s="2163" t="s">
        <v>3181</v>
      </c>
      <c r="O360" s="2191">
        <v>23.968</v>
      </c>
      <c r="P360" s="2191">
        <f>O360*H360</f>
        <v>4.026624</v>
      </c>
      <c r="Q360" s="2191">
        <v>1.0606199999999999</v>
      </c>
      <c r="R360" s="2191">
        <f>Q360*H360</f>
        <v>0.17818415999999998</v>
      </c>
      <c r="S360" s="2191">
        <v>0</v>
      </c>
      <c r="T360" s="2192">
        <f>S360*H360</f>
        <v>0</v>
      </c>
      <c r="AR360" s="2193" t="s">
        <v>856</v>
      </c>
      <c r="AT360" s="2193" t="s">
        <v>3286</v>
      </c>
      <c r="AU360" s="2193" t="s">
        <v>134</v>
      </c>
      <c r="AY360" s="2056" t="s">
        <v>3285</v>
      </c>
      <c r="BE360" s="2194">
        <f>IF(N360="základní",J360,0)</f>
        <v>0</v>
      </c>
      <c r="BF360" s="2194">
        <f>IF(N360="snížená",J360,0)</f>
        <v>0</v>
      </c>
      <c r="BG360" s="2194">
        <f>IF(N360="zákl. přenesená",J360,0)</f>
        <v>0</v>
      </c>
      <c r="BH360" s="2194">
        <f>IF(N360="sníž. přenesená",J360,0)</f>
        <v>0</v>
      </c>
      <c r="BI360" s="2194">
        <f>IF(N360="nulová",J360,0)</f>
        <v>0</v>
      </c>
      <c r="BJ360" s="2056" t="s">
        <v>134</v>
      </c>
      <c r="BK360" s="2194">
        <f>ROUND(I360*H360,2)</f>
        <v>0</v>
      </c>
      <c r="BL360" s="2056" t="s">
        <v>856</v>
      </c>
      <c r="BM360" s="2193" t="s">
        <v>3490</v>
      </c>
    </row>
    <row r="361" spans="2:65" s="2209" customFormat="1">
      <c r="B361" s="2210"/>
      <c r="D361" s="2197" t="s">
        <v>3303</v>
      </c>
      <c r="E361" s="2211" t="s">
        <v>3146</v>
      </c>
      <c r="F361" s="2212" t="s">
        <v>3491</v>
      </c>
      <c r="H361" s="2213">
        <v>0.16800000000000001</v>
      </c>
      <c r="L361" s="2210"/>
      <c r="M361" s="2214"/>
      <c r="T361" s="2215"/>
      <c r="AT361" s="2211" t="s">
        <v>3303</v>
      </c>
      <c r="AU361" s="2211" t="s">
        <v>134</v>
      </c>
      <c r="AV361" s="2209" t="s">
        <v>134</v>
      </c>
      <c r="AW361" s="2209" t="s">
        <v>3171</v>
      </c>
      <c r="AX361" s="2209" t="s">
        <v>133</v>
      </c>
      <c r="AY361" s="2211" t="s">
        <v>3285</v>
      </c>
    </row>
    <row r="362" spans="2:65" s="2070" customFormat="1" ht="24.2" customHeight="1">
      <c r="B362" s="2164"/>
      <c r="C362" s="4608">
        <v>53</v>
      </c>
      <c r="D362" s="4608" t="s">
        <v>3286</v>
      </c>
      <c r="E362" s="4609" t="s">
        <v>3492</v>
      </c>
      <c r="F362" s="4610" t="s">
        <v>3493</v>
      </c>
      <c r="G362" s="4611" t="s">
        <v>221</v>
      </c>
      <c r="H362" s="4612">
        <v>7.6619999999999999</v>
      </c>
      <c r="I362" s="4613"/>
      <c r="J362" s="4613">
        <f>ROUND(I362*H362,2)</f>
        <v>0</v>
      </c>
      <c r="K362" s="4610" t="s">
        <v>142</v>
      </c>
      <c r="L362" s="2071"/>
      <c r="M362" s="2190" t="s">
        <v>3146</v>
      </c>
      <c r="N362" s="2163" t="s">
        <v>3181</v>
      </c>
      <c r="O362" s="2191">
        <v>0.73499999999999999</v>
      </c>
      <c r="P362" s="2191">
        <f>O362*H362</f>
        <v>5.63157</v>
      </c>
      <c r="Q362" s="2191">
        <v>2.5018699999999998</v>
      </c>
      <c r="R362" s="2191">
        <f>Q362*H362</f>
        <v>19.169327939999999</v>
      </c>
      <c r="S362" s="2191">
        <v>0</v>
      </c>
      <c r="T362" s="2192">
        <f>S362*H362</f>
        <v>0</v>
      </c>
      <c r="AR362" s="2193" t="s">
        <v>856</v>
      </c>
      <c r="AT362" s="2193" t="s">
        <v>3286</v>
      </c>
      <c r="AU362" s="2193" t="s">
        <v>134</v>
      </c>
      <c r="AY362" s="2056" t="s">
        <v>3285</v>
      </c>
      <c r="BE362" s="2194">
        <f>IF(N362="základní",J362,0)</f>
        <v>0</v>
      </c>
      <c r="BF362" s="2194">
        <f>IF(N362="snížená",J362,0)</f>
        <v>0</v>
      </c>
      <c r="BG362" s="2194">
        <f>IF(N362="zákl. přenesená",J362,0)</f>
        <v>0</v>
      </c>
      <c r="BH362" s="2194">
        <f>IF(N362="sníž. přenesená",J362,0)</f>
        <v>0</v>
      </c>
      <c r="BI362" s="2194">
        <f>IF(N362="nulová",J362,0)</f>
        <v>0</v>
      </c>
      <c r="BJ362" s="2056" t="s">
        <v>134</v>
      </c>
      <c r="BK362" s="2194">
        <f>ROUND(I362*H362,2)</f>
        <v>0</v>
      </c>
      <c r="BL362" s="2056" t="s">
        <v>856</v>
      </c>
      <c r="BM362" s="2193" t="s">
        <v>3494</v>
      </c>
    </row>
    <row r="363" spans="2:65" s="2195" customFormat="1">
      <c r="B363" s="2196"/>
      <c r="D363" s="2197" t="s">
        <v>3303</v>
      </c>
      <c r="E363" s="2198" t="s">
        <v>3146</v>
      </c>
      <c r="F363" s="2199" t="s">
        <v>3495</v>
      </c>
      <c r="H363" s="2198" t="s">
        <v>3146</v>
      </c>
      <c r="L363" s="2196"/>
      <c r="M363" s="2200"/>
      <c r="T363" s="2201"/>
      <c r="AT363" s="2198" t="s">
        <v>3303</v>
      </c>
      <c r="AU363" s="2198" t="s">
        <v>134</v>
      </c>
      <c r="AV363" s="2195" t="s">
        <v>133</v>
      </c>
      <c r="AW363" s="2195" t="s">
        <v>3171</v>
      </c>
      <c r="AX363" s="2195" t="s">
        <v>3213</v>
      </c>
      <c r="AY363" s="2198" t="s">
        <v>3285</v>
      </c>
    </row>
    <row r="364" spans="2:65" s="2209" customFormat="1">
      <c r="B364" s="2210"/>
      <c r="D364" s="2197" t="s">
        <v>3303</v>
      </c>
      <c r="E364" s="2211" t="s">
        <v>3146</v>
      </c>
      <c r="F364" s="2212" t="s">
        <v>3496</v>
      </c>
      <c r="H364" s="2213">
        <v>7.6619999999999999</v>
      </c>
      <c r="L364" s="2210"/>
      <c r="M364" s="2214"/>
      <c r="T364" s="2215"/>
      <c r="AT364" s="2211" t="s">
        <v>3303</v>
      </c>
      <c r="AU364" s="2211" t="s">
        <v>134</v>
      </c>
      <c r="AV364" s="2209" t="s">
        <v>134</v>
      </c>
      <c r="AW364" s="2209" t="s">
        <v>3171</v>
      </c>
      <c r="AX364" s="2209" t="s">
        <v>3213</v>
      </c>
      <c r="AY364" s="2211" t="s">
        <v>3285</v>
      </c>
    </row>
    <row r="365" spans="2:65" s="2216" customFormat="1">
      <c r="B365" s="2217"/>
      <c r="D365" s="2197" t="s">
        <v>3303</v>
      </c>
      <c r="E365" s="2218" t="s">
        <v>3146</v>
      </c>
      <c r="F365" s="2219" t="s">
        <v>3306</v>
      </c>
      <c r="H365" s="2220">
        <v>7.6619999999999999</v>
      </c>
      <c r="L365" s="2217"/>
      <c r="M365" s="2221"/>
      <c r="T365" s="2222"/>
      <c r="AT365" s="2218" t="s">
        <v>3303</v>
      </c>
      <c r="AU365" s="2218" t="s">
        <v>134</v>
      </c>
      <c r="AV365" s="2216" t="s">
        <v>856</v>
      </c>
      <c r="AW365" s="2216" t="s">
        <v>3171</v>
      </c>
      <c r="AX365" s="2216" t="s">
        <v>133</v>
      </c>
      <c r="AY365" s="2218" t="s">
        <v>3285</v>
      </c>
    </row>
    <row r="366" spans="2:65" s="2070" customFormat="1" ht="16.5" customHeight="1">
      <c r="B366" s="2164"/>
      <c r="C366" s="4608">
        <v>54</v>
      </c>
      <c r="D366" s="4608" t="s">
        <v>3286</v>
      </c>
      <c r="E366" s="4609" t="s">
        <v>3498</v>
      </c>
      <c r="F366" s="4610" t="s">
        <v>3499</v>
      </c>
      <c r="G366" s="4611" t="s">
        <v>611</v>
      </c>
      <c r="H366" s="4612">
        <v>55.863999999999997</v>
      </c>
      <c r="I366" s="4613"/>
      <c r="J366" s="4613">
        <f>ROUND(I366*H366,2)</f>
        <v>0</v>
      </c>
      <c r="K366" s="4610" t="s">
        <v>142</v>
      </c>
      <c r="L366" s="2071"/>
      <c r="M366" s="2190" t="s">
        <v>3146</v>
      </c>
      <c r="N366" s="2163" t="s">
        <v>3181</v>
      </c>
      <c r="O366" s="2191">
        <v>0.51800000000000002</v>
      </c>
      <c r="P366" s="2191">
        <f>O366*H366</f>
        <v>28.937552</v>
      </c>
      <c r="Q366" s="2191">
        <v>2.7499999999999998E-3</v>
      </c>
      <c r="R366" s="2191">
        <f>Q366*H366</f>
        <v>0.15362599999999998</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3500</v>
      </c>
    </row>
    <row r="367" spans="2:65" s="2195" customFormat="1">
      <c r="B367" s="2196"/>
      <c r="D367" s="2197" t="s">
        <v>3303</v>
      </c>
      <c r="E367" s="2198" t="s">
        <v>3146</v>
      </c>
      <c r="F367" s="2199" t="s">
        <v>3495</v>
      </c>
      <c r="H367" s="2198" t="s">
        <v>3146</v>
      </c>
      <c r="L367" s="2196"/>
      <c r="M367" s="2200"/>
      <c r="T367" s="2201"/>
      <c r="AT367" s="2198" t="s">
        <v>3303</v>
      </c>
      <c r="AU367" s="2198" t="s">
        <v>134</v>
      </c>
      <c r="AV367" s="2195" t="s">
        <v>133</v>
      </c>
      <c r="AW367" s="2195" t="s">
        <v>3171</v>
      </c>
      <c r="AX367" s="2195" t="s">
        <v>3213</v>
      </c>
      <c r="AY367" s="2198" t="s">
        <v>3285</v>
      </c>
    </row>
    <row r="368" spans="2:65" s="2209" customFormat="1">
      <c r="B368" s="2210"/>
      <c r="D368" s="2197" t="s">
        <v>3303</v>
      </c>
      <c r="E368" s="2211" t="s">
        <v>3146</v>
      </c>
      <c r="F368" s="2212" t="s">
        <v>3501</v>
      </c>
      <c r="H368" s="2213">
        <v>55.863999999999997</v>
      </c>
      <c r="L368" s="2210"/>
      <c r="M368" s="2214"/>
      <c r="T368" s="2215"/>
      <c r="AT368" s="2211" t="s">
        <v>3303</v>
      </c>
      <c r="AU368" s="2211" t="s">
        <v>134</v>
      </c>
      <c r="AV368" s="2209" t="s">
        <v>134</v>
      </c>
      <c r="AW368" s="2209" t="s">
        <v>3171</v>
      </c>
      <c r="AX368" s="2209" t="s">
        <v>3213</v>
      </c>
      <c r="AY368" s="2211" t="s">
        <v>3285</v>
      </c>
    </row>
    <row r="369" spans="2:65" s="2216" customFormat="1">
      <c r="B369" s="2217"/>
      <c r="D369" s="2197" t="s">
        <v>3303</v>
      </c>
      <c r="E369" s="2218" t="s">
        <v>3146</v>
      </c>
      <c r="F369" s="2219" t="s">
        <v>3306</v>
      </c>
      <c r="H369" s="2220">
        <v>55.863999999999997</v>
      </c>
      <c r="L369" s="2217"/>
      <c r="M369" s="2221"/>
      <c r="T369" s="2222"/>
      <c r="AT369" s="2218" t="s">
        <v>3303</v>
      </c>
      <c r="AU369" s="2218" t="s">
        <v>134</v>
      </c>
      <c r="AV369" s="2216" t="s">
        <v>856</v>
      </c>
      <c r="AW369" s="2216" t="s">
        <v>3171</v>
      </c>
      <c r="AX369" s="2216" t="s">
        <v>133</v>
      </c>
      <c r="AY369" s="2218" t="s">
        <v>3285</v>
      </c>
    </row>
    <row r="370" spans="2:65" s="2070" customFormat="1" ht="21.75" customHeight="1">
      <c r="B370" s="2164"/>
      <c r="C370" s="4608">
        <v>55</v>
      </c>
      <c r="D370" s="4608" t="s">
        <v>3286</v>
      </c>
      <c r="E370" s="4609" t="s">
        <v>3503</v>
      </c>
      <c r="F370" s="4610" t="s">
        <v>3504</v>
      </c>
      <c r="G370" s="4611" t="s">
        <v>611</v>
      </c>
      <c r="H370" s="4612">
        <v>55.863999999999997</v>
      </c>
      <c r="I370" s="4613"/>
      <c r="J370" s="4613">
        <f>ROUND(I370*H370,2)</f>
        <v>0</v>
      </c>
      <c r="K370" s="4610" t="s">
        <v>142</v>
      </c>
      <c r="L370" s="2071"/>
      <c r="M370" s="2190" t="s">
        <v>3146</v>
      </c>
      <c r="N370" s="2163" t="s">
        <v>3181</v>
      </c>
      <c r="O370" s="2191">
        <v>0.17699999999999999</v>
      </c>
      <c r="P370" s="2191">
        <f>O370*H370</f>
        <v>9.8879279999999987</v>
      </c>
      <c r="Q370" s="2191">
        <v>0</v>
      </c>
      <c r="R370" s="2191">
        <f>Q370*H370</f>
        <v>0</v>
      </c>
      <c r="S370" s="2191">
        <v>0</v>
      </c>
      <c r="T370" s="2192">
        <f>S370*H370</f>
        <v>0</v>
      </c>
      <c r="AR370" s="2193" t="s">
        <v>856</v>
      </c>
      <c r="AT370" s="2193" t="s">
        <v>3286</v>
      </c>
      <c r="AU370" s="2193" t="s">
        <v>134</v>
      </c>
      <c r="AY370" s="2056" t="s">
        <v>3285</v>
      </c>
      <c r="BE370" s="2194">
        <f>IF(N370="základní",J370,0)</f>
        <v>0</v>
      </c>
      <c r="BF370" s="2194">
        <f>IF(N370="snížená",J370,0)</f>
        <v>0</v>
      </c>
      <c r="BG370" s="2194">
        <f>IF(N370="zákl. přenesená",J370,0)</f>
        <v>0</v>
      </c>
      <c r="BH370" s="2194">
        <f>IF(N370="sníž. přenesená",J370,0)</f>
        <v>0</v>
      </c>
      <c r="BI370" s="2194">
        <f>IF(N370="nulová",J370,0)</f>
        <v>0</v>
      </c>
      <c r="BJ370" s="2056" t="s">
        <v>134</v>
      </c>
      <c r="BK370" s="2194">
        <f>ROUND(I370*H370,2)</f>
        <v>0</v>
      </c>
      <c r="BL370" s="2056" t="s">
        <v>856</v>
      </c>
      <c r="BM370" s="2193" t="s">
        <v>3505</v>
      </c>
    </row>
    <row r="371" spans="2:65" s="2070" customFormat="1" ht="24.2" customHeight="1">
      <c r="B371" s="2164"/>
      <c r="C371" s="4608">
        <v>56</v>
      </c>
      <c r="D371" s="4608" t="s">
        <v>3286</v>
      </c>
      <c r="E371" s="4609" t="s">
        <v>3506</v>
      </c>
      <c r="F371" s="4610" t="s">
        <v>3507</v>
      </c>
      <c r="G371" s="4611" t="s">
        <v>302</v>
      </c>
      <c r="H371" s="4612">
        <v>0.84299999999999997</v>
      </c>
      <c r="I371" s="4613"/>
      <c r="J371" s="4613">
        <f>ROUND(I371*H371,2)</f>
        <v>0</v>
      </c>
      <c r="K371" s="4610" t="s">
        <v>142</v>
      </c>
      <c r="L371" s="2071"/>
      <c r="M371" s="2190" t="s">
        <v>3146</v>
      </c>
      <c r="N371" s="2163" t="s">
        <v>3181</v>
      </c>
      <c r="O371" s="2191">
        <v>22.491</v>
      </c>
      <c r="P371" s="2191">
        <f>O371*H371</f>
        <v>18.959913</v>
      </c>
      <c r="Q371" s="2191">
        <v>1.0593999999999999</v>
      </c>
      <c r="R371" s="2191">
        <f>Q371*H371</f>
        <v>0.89307419999999993</v>
      </c>
      <c r="S371" s="2191">
        <v>0</v>
      </c>
      <c r="T371" s="2192">
        <f>S371*H371</f>
        <v>0</v>
      </c>
      <c r="AR371" s="2193" t="s">
        <v>856</v>
      </c>
      <c r="AT371" s="2193" t="s">
        <v>3286</v>
      </c>
      <c r="AU371" s="2193" t="s">
        <v>134</v>
      </c>
      <c r="AY371" s="2056" t="s">
        <v>3285</v>
      </c>
      <c r="BE371" s="2194">
        <f>IF(N371="základní",J371,0)</f>
        <v>0</v>
      </c>
      <c r="BF371" s="2194">
        <f>IF(N371="snížená",J371,0)</f>
        <v>0</v>
      </c>
      <c r="BG371" s="2194">
        <f>IF(N371="zákl. přenesená",J371,0)</f>
        <v>0</v>
      </c>
      <c r="BH371" s="2194">
        <f>IF(N371="sníž. přenesená",J371,0)</f>
        <v>0</v>
      </c>
      <c r="BI371" s="2194">
        <f>IF(N371="nulová",J371,0)</f>
        <v>0</v>
      </c>
      <c r="BJ371" s="2056" t="s">
        <v>134</v>
      </c>
      <c r="BK371" s="2194">
        <f>ROUND(I371*H371,2)</f>
        <v>0</v>
      </c>
      <c r="BL371" s="2056" t="s">
        <v>856</v>
      </c>
      <c r="BM371" s="2193" t="s">
        <v>3508</v>
      </c>
    </row>
    <row r="372" spans="2:65" s="2209" customFormat="1">
      <c r="B372" s="2210"/>
      <c r="D372" s="2197" t="s">
        <v>3303</v>
      </c>
      <c r="E372" s="2211" t="s">
        <v>3146</v>
      </c>
      <c r="F372" s="2212" t="s">
        <v>3509</v>
      </c>
      <c r="H372" s="2213">
        <v>0.84299999999999997</v>
      </c>
      <c r="L372" s="2210"/>
      <c r="M372" s="2214"/>
      <c r="T372" s="2215"/>
      <c r="AT372" s="2211" t="s">
        <v>3303</v>
      </c>
      <c r="AU372" s="2211" t="s">
        <v>134</v>
      </c>
      <c r="AV372" s="2209" t="s">
        <v>134</v>
      </c>
      <c r="AW372" s="2209" t="s">
        <v>3171</v>
      </c>
      <c r="AX372" s="2209" t="s">
        <v>133</v>
      </c>
      <c r="AY372" s="2211" t="s">
        <v>3285</v>
      </c>
    </row>
    <row r="373" spans="2:65" s="2070" customFormat="1" ht="24.2" customHeight="1">
      <c r="B373" s="2164"/>
      <c r="C373" s="4608">
        <v>57</v>
      </c>
      <c r="D373" s="4608" t="s">
        <v>3286</v>
      </c>
      <c r="E373" s="4609" t="s">
        <v>3510</v>
      </c>
      <c r="F373" s="4610" t="s">
        <v>3511</v>
      </c>
      <c r="G373" s="4611" t="s">
        <v>221</v>
      </c>
      <c r="H373" s="4612">
        <v>220</v>
      </c>
      <c r="I373" s="4613"/>
      <c r="J373" s="4613">
        <f>ROUND(I373*H373,2)</f>
        <v>0</v>
      </c>
      <c r="K373" s="4610" t="s">
        <v>142</v>
      </c>
      <c r="L373" s="2071"/>
      <c r="M373" s="2190" t="s">
        <v>3146</v>
      </c>
      <c r="N373" s="2163" t="s">
        <v>3181</v>
      </c>
      <c r="O373" s="2191">
        <v>0.185</v>
      </c>
      <c r="P373" s="2191">
        <f>O373*H373</f>
        <v>40.700000000000003</v>
      </c>
      <c r="Q373" s="2191">
        <v>1.9312499999999999</v>
      </c>
      <c r="R373" s="2191">
        <f>Q373*H373</f>
        <v>424.875</v>
      </c>
      <c r="S373" s="2191">
        <v>0</v>
      </c>
      <c r="T373" s="2192">
        <f>S373*H373</f>
        <v>0</v>
      </c>
      <c r="AR373" s="2193" t="s">
        <v>856</v>
      </c>
      <c r="AT373" s="2193" t="s">
        <v>3286</v>
      </c>
      <c r="AU373" s="2193" t="s">
        <v>134</v>
      </c>
      <c r="AY373" s="2056" t="s">
        <v>3285</v>
      </c>
      <c r="BE373" s="2194">
        <f>IF(N373="základní",J373,0)</f>
        <v>0</v>
      </c>
      <c r="BF373" s="2194">
        <f>IF(N373="snížená",J373,0)</f>
        <v>0</v>
      </c>
      <c r="BG373" s="2194">
        <f>IF(N373="zákl. přenesená",J373,0)</f>
        <v>0</v>
      </c>
      <c r="BH373" s="2194">
        <f>IF(N373="sníž. přenesená",J373,0)</f>
        <v>0</v>
      </c>
      <c r="BI373" s="2194">
        <f>IF(N373="nulová",J373,0)</f>
        <v>0</v>
      </c>
      <c r="BJ373" s="2056" t="s">
        <v>134</v>
      </c>
      <c r="BK373" s="2194">
        <f>ROUND(I373*H373,2)</f>
        <v>0</v>
      </c>
      <c r="BL373" s="2056" t="s">
        <v>856</v>
      </c>
      <c r="BM373" s="2193" t="s">
        <v>3512</v>
      </c>
    </row>
    <row r="374" spans="2:65" s="2209" customFormat="1">
      <c r="B374" s="2210"/>
      <c r="D374" s="2197" t="s">
        <v>3303</v>
      </c>
      <c r="E374" s="2211" t="s">
        <v>3146</v>
      </c>
      <c r="F374" s="2212" t="s">
        <v>3513</v>
      </c>
      <c r="H374" s="2213">
        <v>220</v>
      </c>
      <c r="L374" s="2210"/>
      <c r="M374" s="2214"/>
      <c r="T374" s="2215"/>
      <c r="AT374" s="2211" t="s">
        <v>3303</v>
      </c>
      <c r="AU374" s="2211" t="s">
        <v>134</v>
      </c>
      <c r="AV374" s="2209" t="s">
        <v>134</v>
      </c>
      <c r="AW374" s="2209" t="s">
        <v>3171</v>
      </c>
      <c r="AX374" s="2209" t="s">
        <v>133</v>
      </c>
      <c r="AY374" s="2211" t="s">
        <v>3285</v>
      </c>
    </row>
    <row r="375" spans="2:65" s="2178" customFormat="1" ht="22.9" customHeight="1">
      <c r="B375" s="2179"/>
      <c r="D375" s="2180" t="s">
        <v>3212</v>
      </c>
      <c r="E375" s="2188" t="s">
        <v>854</v>
      </c>
      <c r="F375" s="2188" t="s">
        <v>2544</v>
      </c>
      <c r="J375" s="2189">
        <f>BK375</f>
        <v>0</v>
      </c>
      <c r="L375" s="2179"/>
      <c r="M375" s="2183"/>
      <c r="P375" s="2184">
        <f>SUM(P376:P448)</f>
        <v>9771.3769680000005</v>
      </c>
      <c r="R375" s="2184">
        <f>SUM(R376:R448)</f>
        <v>2082.9608918699996</v>
      </c>
      <c r="T375" s="2185">
        <f>SUM(T376:T448)</f>
        <v>0</v>
      </c>
      <c r="AR375" s="2180" t="s">
        <v>133</v>
      </c>
      <c r="AT375" s="2186" t="s">
        <v>3212</v>
      </c>
      <c r="AU375" s="2186" t="s">
        <v>133</v>
      </c>
      <c r="AY375" s="2180" t="s">
        <v>3285</v>
      </c>
      <c r="BK375" s="2187">
        <f>SUM(BK376:BK448)</f>
        <v>0</v>
      </c>
    </row>
    <row r="376" spans="2:65" s="2070" customFormat="1" ht="24.2" customHeight="1">
      <c r="B376" s="2164"/>
      <c r="C376" s="4608">
        <v>58</v>
      </c>
      <c r="D376" s="4608" t="s">
        <v>3286</v>
      </c>
      <c r="E376" s="4609" t="s">
        <v>10720</v>
      </c>
      <c r="F376" s="4610" t="s">
        <v>10721</v>
      </c>
      <c r="G376" s="4611" t="s">
        <v>221</v>
      </c>
      <c r="H376" s="4612">
        <v>2.3130000000000002</v>
      </c>
      <c r="I376" s="4613"/>
      <c r="J376" s="4613">
        <f>ROUND(I376*H376,2)</f>
        <v>0</v>
      </c>
      <c r="K376" s="4610" t="s">
        <v>142</v>
      </c>
      <c r="L376" s="2071"/>
      <c r="M376" s="2190" t="s">
        <v>3146</v>
      </c>
      <c r="N376" s="2163" t="s">
        <v>3181</v>
      </c>
      <c r="O376" s="2191">
        <v>3.8050000000000002</v>
      </c>
      <c r="P376" s="2191">
        <f>O376*H376</f>
        <v>8.8009650000000015</v>
      </c>
      <c r="Q376" s="2191">
        <v>1.6285000000000001</v>
      </c>
      <c r="R376" s="2191">
        <f>Q376*H376</f>
        <v>3.7667205000000004</v>
      </c>
      <c r="S376" s="2191">
        <v>0</v>
      </c>
      <c r="T376" s="2192">
        <f>S376*H376</f>
        <v>0</v>
      </c>
      <c r="AR376" s="2193" t="s">
        <v>856</v>
      </c>
      <c r="AT376" s="2193" t="s">
        <v>3286</v>
      </c>
      <c r="AU376" s="2193" t="s">
        <v>134</v>
      </c>
      <c r="AY376" s="2056" t="s">
        <v>3285</v>
      </c>
      <c r="BE376" s="2194">
        <f>IF(N376="základní",J376,0)</f>
        <v>0</v>
      </c>
      <c r="BF376" s="2194">
        <f>IF(N376="snížená",J376,0)</f>
        <v>0</v>
      </c>
      <c r="BG376" s="2194">
        <f>IF(N376="zákl. přenesená",J376,0)</f>
        <v>0</v>
      </c>
      <c r="BH376" s="2194">
        <f>IF(N376="sníž. přenesená",J376,0)</f>
        <v>0</v>
      </c>
      <c r="BI376" s="2194">
        <f>IF(N376="nulová",J376,0)</f>
        <v>0</v>
      </c>
      <c r="BJ376" s="2056" t="s">
        <v>134</v>
      </c>
      <c r="BK376" s="2194">
        <f>ROUND(I376*H376,2)</f>
        <v>0</v>
      </c>
      <c r="BL376" s="2056" t="s">
        <v>856</v>
      </c>
      <c r="BM376" s="2193" t="s">
        <v>10722</v>
      </c>
    </row>
    <row r="377" spans="2:65" s="2209" customFormat="1">
      <c r="B377" s="2210"/>
      <c r="D377" s="2197" t="s">
        <v>3303</v>
      </c>
      <c r="E377" s="2211" t="s">
        <v>3146</v>
      </c>
      <c r="F377" s="2212" t="s">
        <v>10723</v>
      </c>
      <c r="H377" s="2213">
        <v>2.3130000000000002</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2.3130000000000002</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59</v>
      </c>
      <c r="D379" s="4608" t="s">
        <v>3286</v>
      </c>
      <c r="E379" s="4609" t="s">
        <v>3514</v>
      </c>
      <c r="F379" s="4610" t="s">
        <v>3515</v>
      </c>
      <c r="G379" s="4611" t="s">
        <v>155</v>
      </c>
      <c r="H379" s="4612">
        <v>5</v>
      </c>
      <c r="I379" s="4613"/>
      <c r="J379" s="4613">
        <f>ROUND(I379*H379,2)</f>
        <v>0</v>
      </c>
      <c r="K379" s="4610" t="s">
        <v>142</v>
      </c>
      <c r="L379" s="2071"/>
      <c r="M379" s="2190" t="s">
        <v>3146</v>
      </c>
      <c r="N379" s="2163" t="s">
        <v>3181</v>
      </c>
      <c r="O379" s="2191">
        <v>0.254</v>
      </c>
      <c r="P379" s="2191">
        <f>O379*H379</f>
        <v>1.27</v>
      </c>
      <c r="Q379" s="2191">
        <v>5.2630000000000003E-2</v>
      </c>
      <c r="R379" s="2191">
        <f>Q379*H379</f>
        <v>0.26315</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3516</v>
      </c>
    </row>
    <row r="380" spans="2:65" s="2195" customFormat="1">
      <c r="B380" s="2196"/>
      <c r="D380" s="2197" t="s">
        <v>3303</v>
      </c>
      <c r="E380" s="2198" t="s">
        <v>3146</v>
      </c>
      <c r="F380" s="2199" t="s">
        <v>3517</v>
      </c>
      <c r="H380" s="2198" t="s">
        <v>3146</v>
      </c>
      <c r="L380" s="2196"/>
      <c r="M380" s="2200"/>
      <c r="T380" s="2201"/>
      <c r="AT380" s="2198" t="s">
        <v>3303</v>
      </c>
      <c r="AU380" s="2198" t="s">
        <v>134</v>
      </c>
      <c r="AV380" s="2195" t="s">
        <v>133</v>
      </c>
      <c r="AW380" s="2195" t="s">
        <v>3171</v>
      </c>
      <c r="AX380" s="2195" t="s">
        <v>3213</v>
      </c>
      <c r="AY380" s="2198" t="s">
        <v>3285</v>
      </c>
    </row>
    <row r="381" spans="2:65" s="2195" customFormat="1">
      <c r="B381" s="2196"/>
      <c r="D381" s="2197" t="s">
        <v>3303</v>
      </c>
      <c r="E381" s="2198" t="s">
        <v>3146</v>
      </c>
      <c r="F381" s="2199" t="s">
        <v>3518</v>
      </c>
      <c r="H381" s="2198" t="s">
        <v>3146</v>
      </c>
      <c r="L381" s="2196"/>
      <c r="M381" s="2200"/>
      <c r="T381" s="2201"/>
      <c r="AT381" s="2198" t="s">
        <v>3303</v>
      </c>
      <c r="AU381" s="2198" t="s">
        <v>134</v>
      </c>
      <c r="AV381" s="2195" t="s">
        <v>133</v>
      </c>
      <c r="AW381" s="2195" t="s">
        <v>3171</v>
      </c>
      <c r="AX381" s="2195" t="s">
        <v>3213</v>
      </c>
      <c r="AY381" s="2198" t="s">
        <v>3285</v>
      </c>
    </row>
    <row r="382" spans="2:65" s="2209" customFormat="1">
      <c r="B382" s="2210"/>
      <c r="D382" s="2197" t="s">
        <v>3303</v>
      </c>
      <c r="E382" s="2211" t="s">
        <v>3146</v>
      </c>
      <c r="F382" s="2212" t="s">
        <v>133</v>
      </c>
      <c r="H382" s="2213">
        <v>1</v>
      </c>
      <c r="L382" s="2210"/>
      <c r="M382" s="2214"/>
      <c r="T382" s="2215"/>
      <c r="AT382" s="2211" t="s">
        <v>3303</v>
      </c>
      <c r="AU382" s="2211" t="s">
        <v>134</v>
      </c>
      <c r="AV382" s="2209" t="s">
        <v>134</v>
      </c>
      <c r="AW382" s="2209" t="s">
        <v>3171</v>
      </c>
      <c r="AX382" s="2209" t="s">
        <v>3213</v>
      </c>
      <c r="AY382" s="2211" t="s">
        <v>3285</v>
      </c>
    </row>
    <row r="383" spans="2:65" s="2195" customFormat="1">
      <c r="B383" s="2196"/>
      <c r="D383" s="2197" t="s">
        <v>3303</v>
      </c>
      <c r="E383" s="2198" t="s">
        <v>3146</v>
      </c>
      <c r="F383" s="2199" t="s">
        <v>3519</v>
      </c>
      <c r="H383" s="2198" t="s">
        <v>3146</v>
      </c>
      <c r="L383" s="2196"/>
      <c r="M383" s="2200"/>
      <c r="T383" s="2201"/>
      <c r="AT383" s="2198" t="s">
        <v>3303</v>
      </c>
      <c r="AU383" s="2198" t="s">
        <v>134</v>
      </c>
      <c r="AV383" s="2195" t="s">
        <v>133</v>
      </c>
      <c r="AW383" s="2195" t="s">
        <v>3171</v>
      </c>
      <c r="AX383" s="2195" t="s">
        <v>3213</v>
      </c>
      <c r="AY383" s="2198" t="s">
        <v>3285</v>
      </c>
    </row>
    <row r="384" spans="2:65" s="2209" customFormat="1">
      <c r="B384" s="2210"/>
      <c r="D384" s="2197" t="s">
        <v>3303</v>
      </c>
      <c r="E384" s="2211" t="s">
        <v>3146</v>
      </c>
      <c r="F384" s="2212" t="s">
        <v>856</v>
      </c>
      <c r="H384" s="2213">
        <v>4</v>
      </c>
      <c r="L384" s="2210"/>
      <c r="M384" s="2214"/>
      <c r="T384" s="2215"/>
      <c r="AT384" s="2211" t="s">
        <v>3303</v>
      </c>
      <c r="AU384" s="2211" t="s">
        <v>134</v>
      </c>
      <c r="AV384" s="2209" t="s">
        <v>134</v>
      </c>
      <c r="AW384" s="2209" t="s">
        <v>3171</v>
      </c>
      <c r="AX384" s="2209" t="s">
        <v>3213</v>
      </c>
      <c r="AY384" s="2211" t="s">
        <v>3285</v>
      </c>
    </row>
    <row r="385" spans="2:65" s="2216" customFormat="1">
      <c r="B385" s="2217"/>
      <c r="D385" s="2197" t="s">
        <v>3303</v>
      </c>
      <c r="E385" s="2218" t="s">
        <v>3146</v>
      </c>
      <c r="F385" s="2219" t="s">
        <v>3306</v>
      </c>
      <c r="H385" s="2220">
        <v>5</v>
      </c>
      <c r="L385" s="2217"/>
      <c r="M385" s="2221"/>
      <c r="T385" s="2222"/>
      <c r="AT385" s="2218" t="s">
        <v>3303</v>
      </c>
      <c r="AU385" s="2218" t="s">
        <v>134</v>
      </c>
      <c r="AV385" s="2216" t="s">
        <v>856</v>
      </c>
      <c r="AW385" s="2216" t="s">
        <v>3171</v>
      </c>
      <c r="AX385" s="2216" t="s">
        <v>133</v>
      </c>
      <c r="AY385" s="2218" t="s">
        <v>3285</v>
      </c>
    </row>
    <row r="386" spans="2:65" s="2070" customFormat="1" ht="33" customHeight="1">
      <c r="B386" s="2164"/>
      <c r="C386" s="4608">
        <v>60</v>
      </c>
      <c r="D386" s="4608" t="s">
        <v>3286</v>
      </c>
      <c r="E386" s="4609" t="s">
        <v>3520</v>
      </c>
      <c r="F386" s="4610" t="s">
        <v>3521</v>
      </c>
      <c r="G386" s="4611" t="s">
        <v>155</v>
      </c>
      <c r="H386" s="4612">
        <v>4</v>
      </c>
      <c r="I386" s="4613"/>
      <c r="J386" s="4613">
        <f>ROUND(I386*H386,2)</f>
        <v>0</v>
      </c>
      <c r="K386" s="4610" t="s">
        <v>142</v>
      </c>
      <c r="L386" s="2071"/>
      <c r="M386" s="2190" t="s">
        <v>3146</v>
      </c>
      <c r="N386" s="2163" t="s">
        <v>3181</v>
      </c>
      <c r="O386" s="2191">
        <v>0.36899999999999999</v>
      </c>
      <c r="P386" s="2191">
        <f>O386*H386</f>
        <v>1.476</v>
      </c>
      <c r="Q386" s="2191">
        <v>8.763E-2</v>
      </c>
      <c r="R386" s="2191">
        <f>Q386*H386</f>
        <v>0.35052</v>
      </c>
      <c r="S386" s="2191">
        <v>0</v>
      </c>
      <c r="T386" s="2192">
        <f>S386*H386</f>
        <v>0</v>
      </c>
      <c r="AR386" s="2193" t="s">
        <v>856</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856</v>
      </c>
      <c r="BM386" s="2193" t="s">
        <v>3522</v>
      </c>
    </row>
    <row r="387" spans="2:65" s="2195" customFormat="1">
      <c r="B387" s="2196"/>
      <c r="D387" s="2197" t="s">
        <v>3303</v>
      </c>
      <c r="E387" s="2198" t="s">
        <v>3146</v>
      </c>
      <c r="F387" s="2199" t="s">
        <v>3523</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856</v>
      </c>
      <c r="H388" s="2213">
        <v>4</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4</v>
      </c>
      <c r="L389" s="2217"/>
      <c r="M389" s="2221"/>
      <c r="T389" s="2222"/>
      <c r="AT389" s="2218" t="s">
        <v>3303</v>
      </c>
      <c r="AU389" s="2218" t="s">
        <v>134</v>
      </c>
      <c r="AV389" s="2216" t="s">
        <v>856</v>
      </c>
      <c r="AW389" s="2216" t="s">
        <v>3171</v>
      </c>
      <c r="AX389" s="2216" t="s">
        <v>133</v>
      </c>
      <c r="AY389" s="2218" t="s">
        <v>3285</v>
      </c>
    </row>
    <row r="390" spans="2:65" s="2070" customFormat="1" ht="16.5" customHeight="1">
      <c r="B390" s="2164"/>
      <c r="C390" s="4608">
        <v>61</v>
      </c>
      <c r="D390" s="4608" t="s">
        <v>3286</v>
      </c>
      <c r="E390" s="4609" t="s">
        <v>3524</v>
      </c>
      <c r="F390" s="4610" t="s">
        <v>3525</v>
      </c>
      <c r="G390" s="4611" t="s">
        <v>221</v>
      </c>
      <c r="H390" s="4612">
        <v>751.03200000000004</v>
      </c>
      <c r="I390" s="4613"/>
      <c r="J390" s="4613">
        <f>ROUND(I390*H390,2)</f>
        <v>0</v>
      </c>
      <c r="K390" s="4610" t="s">
        <v>142</v>
      </c>
      <c r="L390" s="2071"/>
      <c r="M390" s="2190" t="s">
        <v>3146</v>
      </c>
      <c r="N390" s="2163" t="s">
        <v>3181</v>
      </c>
      <c r="O390" s="2191">
        <v>1.593</v>
      </c>
      <c r="P390" s="2191">
        <f>O390*H390</f>
        <v>1196.3939760000001</v>
      </c>
      <c r="Q390" s="2191">
        <v>2.5018799999999999</v>
      </c>
      <c r="R390" s="2191">
        <f>Q390*H390</f>
        <v>1878.99194016</v>
      </c>
      <c r="S390" s="2191">
        <v>0</v>
      </c>
      <c r="T390" s="2192">
        <f>S390*H390</f>
        <v>0</v>
      </c>
      <c r="AR390" s="2193" t="s">
        <v>856</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856</v>
      </c>
      <c r="BM390" s="2193" t="s">
        <v>3526</v>
      </c>
    </row>
    <row r="391" spans="2:65" s="2195" customFormat="1">
      <c r="B391" s="2196"/>
      <c r="D391" s="2197" t="s">
        <v>3303</v>
      </c>
      <c r="E391" s="2198" t="s">
        <v>3146</v>
      </c>
      <c r="F391" s="2199" t="s">
        <v>3517</v>
      </c>
      <c r="H391" s="2198" t="s">
        <v>3146</v>
      </c>
      <c r="L391" s="2196"/>
      <c r="M391" s="2200"/>
      <c r="T391" s="2201"/>
      <c r="AT391" s="2198" t="s">
        <v>3303</v>
      </c>
      <c r="AU391" s="2198" t="s">
        <v>134</v>
      </c>
      <c r="AV391" s="2195" t="s">
        <v>133</v>
      </c>
      <c r="AW391" s="2195" t="s">
        <v>3171</v>
      </c>
      <c r="AX391" s="2195" t="s">
        <v>3213</v>
      </c>
      <c r="AY391" s="2198" t="s">
        <v>3285</v>
      </c>
    </row>
    <row r="392" spans="2:65" s="2195" customFormat="1">
      <c r="B392" s="2196"/>
      <c r="D392" s="2197" t="s">
        <v>3303</v>
      </c>
      <c r="E392" s="2198" t="s">
        <v>3146</v>
      </c>
      <c r="F392" s="2199" t="s">
        <v>3527</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3528</v>
      </c>
      <c r="H393" s="2213">
        <v>21.17</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3529</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3530</v>
      </c>
      <c r="H395" s="2213">
        <v>74.423000000000002</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3531</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10724</v>
      </c>
      <c r="H397" s="2213">
        <v>220.364</v>
      </c>
      <c r="L397" s="2210"/>
      <c r="M397" s="2214"/>
      <c r="T397" s="2215"/>
      <c r="AT397" s="2211" t="s">
        <v>3303</v>
      </c>
      <c r="AU397" s="2211" t="s">
        <v>134</v>
      </c>
      <c r="AV397" s="2209" t="s">
        <v>134</v>
      </c>
      <c r="AW397" s="2209" t="s">
        <v>3171</v>
      </c>
      <c r="AX397" s="2209" t="s">
        <v>3213</v>
      </c>
      <c r="AY397" s="2211" t="s">
        <v>3285</v>
      </c>
    </row>
    <row r="398" spans="2:65" s="2202" customFormat="1">
      <c r="B398" s="2203"/>
      <c r="D398" s="2197" t="s">
        <v>3303</v>
      </c>
      <c r="E398" s="2204" t="s">
        <v>3146</v>
      </c>
      <c r="F398" s="2205" t="s">
        <v>3305</v>
      </c>
      <c r="H398" s="2206">
        <v>315.95699999999999</v>
      </c>
      <c r="L398" s="2203"/>
      <c r="M398" s="2207"/>
      <c r="T398" s="2208"/>
      <c r="AT398" s="2204" t="s">
        <v>3303</v>
      </c>
      <c r="AU398" s="2204" t="s">
        <v>134</v>
      </c>
      <c r="AV398" s="2202" t="s">
        <v>854</v>
      </c>
      <c r="AW398" s="2202" t="s">
        <v>3171</v>
      </c>
      <c r="AX398" s="2202" t="s">
        <v>3213</v>
      </c>
      <c r="AY398" s="2204" t="s">
        <v>3285</v>
      </c>
    </row>
    <row r="399" spans="2:65" s="2195" customFormat="1">
      <c r="B399" s="2196"/>
      <c r="D399" s="2197" t="s">
        <v>3303</v>
      </c>
      <c r="E399" s="2198" t="s">
        <v>3146</v>
      </c>
      <c r="F399" s="2199" t="s">
        <v>3661</v>
      </c>
      <c r="H399" s="2198" t="s">
        <v>3146</v>
      </c>
      <c r="L399" s="2196"/>
      <c r="M399" s="2200"/>
      <c r="T399" s="2201"/>
      <c r="AT399" s="2198" t="s">
        <v>3303</v>
      </c>
      <c r="AU399" s="2198" t="s">
        <v>134</v>
      </c>
      <c r="AV399" s="2195" t="s">
        <v>133</v>
      </c>
      <c r="AW399" s="2195" t="s">
        <v>3171</v>
      </c>
      <c r="AX399" s="2195" t="s">
        <v>3213</v>
      </c>
      <c r="AY399" s="2198" t="s">
        <v>3285</v>
      </c>
    </row>
    <row r="400" spans="2:65" s="2209" customFormat="1">
      <c r="B400" s="2210"/>
      <c r="D400" s="2197" t="s">
        <v>3303</v>
      </c>
      <c r="E400" s="2211" t="s">
        <v>3146</v>
      </c>
      <c r="F400" s="2212" t="s">
        <v>10725</v>
      </c>
      <c r="H400" s="2213">
        <v>163.624</v>
      </c>
      <c r="L400" s="2210"/>
      <c r="M400" s="2214"/>
      <c r="T400" s="2215"/>
      <c r="AT400" s="2211" t="s">
        <v>3303</v>
      </c>
      <c r="AU400" s="2211" t="s">
        <v>134</v>
      </c>
      <c r="AV400" s="2209" t="s">
        <v>134</v>
      </c>
      <c r="AW400" s="2209" t="s">
        <v>3171</v>
      </c>
      <c r="AX400" s="2209" t="s">
        <v>3213</v>
      </c>
      <c r="AY400" s="2211" t="s">
        <v>3285</v>
      </c>
    </row>
    <row r="401" spans="2:65" s="2195" customFormat="1">
      <c r="B401" s="2196"/>
      <c r="D401" s="2197" t="s">
        <v>3303</v>
      </c>
      <c r="E401" s="2198" t="s">
        <v>3146</v>
      </c>
      <c r="F401" s="2199" t="s">
        <v>3578</v>
      </c>
      <c r="H401" s="2198" t="s">
        <v>3146</v>
      </c>
      <c r="L401" s="2196"/>
      <c r="M401" s="2200"/>
      <c r="T401" s="2201"/>
      <c r="AT401" s="2198" t="s">
        <v>3303</v>
      </c>
      <c r="AU401" s="2198" t="s">
        <v>134</v>
      </c>
      <c r="AV401" s="2195" t="s">
        <v>133</v>
      </c>
      <c r="AW401" s="2195" t="s">
        <v>3171</v>
      </c>
      <c r="AX401" s="2195" t="s">
        <v>3213</v>
      </c>
      <c r="AY401" s="2198" t="s">
        <v>3285</v>
      </c>
    </row>
    <row r="402" spans="2:65" s="2209" customFormat="1">
      <c r="B402" s="2210"/>
      <c r="D402" s="2197" t="s">
        <v>3303</v>
      </c>
      <c r="E402" s="2211" t="s">
        <v>3146</v>
      </c>
      <c r="F402" s="2212" t="s">
        <v>10726</v>
      </c>
      <c r="H402" s="2213">
        <v>36.479999999999997</v>
      </c>
      <c r="L402" s="2210"/>
      <c r="M402" s="2214"/>
      <c r="T402" s="2215"/>
      <c r="AT402" s="2211" t="s">
        <v>3303</v>
      </c>
      <c r="AU402" s="2211" t="s">
        <v>134</v>
      </c>
      <c r="AV402" s="2209" t="s">
        <v>134</v>
      </c>
      <c r="AW402" s="2209" t="s">
        <v>3171</v>
      </c>
      <c r="AX402" s="2209" t="s">
        <v>3213</v>
      </c>
      <c r="AY402" s="2211" t="s">
        <v>3285</v>
      </c>
    </row>
    <row r="403" spans="2:65" s="2195" customFormat="1">
      <c r="B403" s="2196"/>
      <c r="D403" s="2197" t="s">
        <v>3303</v>
      </c>
      <c r="E403" s="2198" t="s">
        <v>3146</v>
      </c>
      <c r="F403" s="2199" t="s">
        <v>3580</v>
      </c>
      <c r="H403" s="2198" t="s">
        <v>3146</v>
      </c>
      <c r="L403" s="2196"/>
      <c r="M403" s="2200"/>
      <c r="T403" s="2201"/>
      <c r="AT403" s="2198" t="s">
        <v>3303</v>
      </c>
      <c r="AU403" s="2198" t="s">
        <v>134</v>
      </c>
      <c r="AV403" s="2195" t="s">
        <v>133</v>
      </c>
      <c r="AW403" s="2195" t="s">
        <v>3171</v>
      </c>
      <c r="AX403" s="2195" t="s">
        <v>3213</v>
      </c>
      <c r="AY403" s="2198" t="s">
        <v>3285</v>
      </c>
    </row>
    <row r="404" spans="2:65" s="2209" customFormat="1">
      <c r="B404" s="2210"/>
      <c r="D404" s="2197" t="s">
        <v>3303</v>
      </c>
      <c r="E404" s="2211" t="s">
        <v>3146</v>
      </c>
      <c r="F404" s="2212" t="s">
        <v>10727</v>
      </c>
      <c r="H404" s="2213">
        <v>172.804</v>
      </c>
      <c r="L404" s="2210"/>
      <c r="M404" s="2214"/>
      <c r="T404" s="2215"/>
      <c r="AT404" s="2211" t="s">
        <v>3303</v>
      </c>
      <c r="AU404" s="2211" t="s">
        <v>134</v>
      </c>
      <c r="AV404" s="2209" t="s">
        <v>134</v>
      </c>
      <c r="AW404" s="2209" t="s">
        <v>3171</v>
      </c>
      <c r="AX404" s="2209" t="s">
        <v>3213</v>
      </c>
      <c r="AY404" s="2211" t="s">
        <v>3285</v>
      </c>
    </row>
    <row r="405" spans="2:65" s="2209" customFormat="1">
      <c r="B405" s="2210"/>
      <c r="D405" s="2197" t="s">
        <v>3303</v>
      </c>
      <c r="E405" s="2211" t="s">
        <v>3146</v>
      </c>
      <c r="F405" s="2212" t="s">
        <v>10728</v>
      </c>
      <c r="H405" s="2213">
        <v>62.167000000000002</v>
      </c>
      <c r="L405" s="2210"/>
      <c r="M405" s="2214"/>
      <c r="T405" s="2215"/>
      <c r="AT405" s="2211" t="s">
        <v>3303</v>
      </c>
      <c r="AU405" s="2211" t="s">
        <v>134</v>
      </c>
      <c r="AV405" s="2209" t="s">
        <v>134</v>
      </c>
      <c r="AW405" s="2209" t="s">
        <v>3171</v>
      </c>
      <c r="AX405" s="2209" t="s">
        <v>3213</v>
      </c>
      <c r="AY405" s="2211" t="s">
        <v>3285</v>
      </c>
    </row>
    <row r="406" spans="2:65" s="2216" customFormat="1">
      <c r="B406" s="2217"/>
      <c r="D406" s="2197" t="s">
        <v>3303</v>
      </c>
      <c r="E406" s="2218" t="s">
        <v>3146</v>
      </c>
      <c r="F406" s="2219" t="s">
        <v>3306</v>
      </c>
      <c r="H406" s="2220">
        <v>751.03200000000004</v>
      </c>
      <c r="L406" s="2217"/>
      <c r="M406" s="2221"/>
      <c r="T406" s="2222"/>
      <c r="AT406" s="2218" t="s">
        <v>3303</v>
      </c>
      <c r="AU406" s="2218" t="s">
        <v>134</v>
      </c>
      <c r="AV406" s="2216" t="s">
        <v>856</v>
      </c>
      <c r="AW406" s="2216" t="s">
        <v>3171</v>
      </c>
      <c r="AX406" s="2216" t="s">
        <v>133</v>
      </c>
      <c r="AY406" s="2218" t="s">
        <v>3285</v>
      </c>
    </row>
    <row r="407" spans="2:65" s="2070" customFormat="1" ht="16.5" customHeight="1">
      <c r="B407" s="2164"/>
      <c r="C407" s="4608">
        <v>62</v>
      </c>
      <c r="D407" s="4608" t="s">
        <v>3286</v>
      </c>
      <c r="E407" s="4609" t="s">
        <v>3532</v>
      </c>
      <c r="F407" s="4610" t="s">
        <v>3533</v>
      </c>
      <c r="G407" s="4611" t="s">
        <v>611</v>
      </c>
      <c r="H407" s="4612">
        <v>8655.0630000000001</v>
      </c>
      <c r="I407" s="4613"/>
      <c r="J407" s="4613">
        <f>ROUND(I407*H407,2)</f>
        <v>0</v>
      </c>
      <c r="K407" s="4610" t="s">
        <v>142</v>
      </c>
      <c r="L407" s="2071"/>
      <c r="M407" s="2190" t="s">
        <v>3146</v>
      </c>
      <c r="N407" s="2163" t="s">
        <v>3181</v>
      </c>
      <c r="O407" s="2191">
        <v>0.53800000000000003</v>
      </c>
      <c r="P407" s="2191">
        <f>O407*H407</f>
        <v>4656.4238940000005</v>
      </c>
      <c r="Q407" s="2191">
        <v>2.7499999999999998E-3</v>
      </c>
      <c r="R407" s="2191">
        <f>Q407*H407</f>
        <v>23.801423249999999</v>
      </c>
      <c r="S407" s="2191">
        <v>0</v>
      </c>
      <c r="T407" s="2192">
        <f>S407*H407</f>
        <v>0</v>
      </c>
      <c r="AR407" s="2193" t="s">
        <v>856</v>
      </c>
      <c r="AT407" s="2193" t="s">
        <v>3286</v>
      </c>
      <c r="AU407" s="2193" t="s">
        <v>134</v>
      </c>
      <c r="AY407" s="2056" t="s">
        <v>3285</v>
      </c>
      <c r="BE407" s="2194">
        <f>IF(N407="základní",J407,0)</f>
        <v>0</v>
      </c>
      <c r="BF407" s="2194">
        <f>IF(N407="snížená",J407,0)</f>
        <v>0</v>
      </c>
      <c r="BG407" s="2194">
        <f>IF(N407="zákl. přenesená",J407,0)</f>
        <v>0</v>
      </c>
      <c r="BH407" s="2194">
        <f>IF(N407="sníž. přenesená",J407,0)</f>
        <v>0</v>
      </c>
      <c r="BI407" s="2194">
        <f>IF(N407="nulová",J407,0)</f>
        <v>0</v>
      </c>
      <c r="BJ407" s="2056" t="s">
        <v>134</v>
      </c>
      <c r="BK407" s="2194">
        <f>ROUND(I407*H407,2)</f>
        <v>0</v>
      </c>
      <c r="BL407" s="2056" t="s">
        <v>856</v>
      </c>
      <c r="BM407" s="2193" t="s">
        <v>3534</v>
      </c>
    </row>
    <row r="408" spans="2:65" s="2209" customFormat="1">
      <c r="B408" s="2210"/>
      <c r="D408" s="2197" t="s">
        <v>3303</v>
      </c>
      <c r="E408" s="2211" t="s">
        <v>3146</v>
      </c>
      <c r="F408" s="2212" t="s">
        <v>3535</v>
      </c>
      <c r="H408" s="2213">
        <v>35.207999999999998</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3517</v>
      </c>
      <c r="H409" s="2198" t="s">
        <v>3146</v>
      </c>
      <c r="L409" s="2196"/>
      <c r="M409" s="2200"/>
      <c r="T409" s="2201"/>
      <c r="AT409" s="2198" t="s">
        <v>3303</v>
      </c>
      <c r="AU409" s="2198" t="s">
        <v>134</v>
      </c>
      <c r="AV409" s="2195" t="s">
        <v>133</v>
      </c>
      <c r="AW409" s="2195" t="s">
        <v>3171</v>
      </c>
      <c r="AX409" s="2195" t="s">
        <v>3213</v>
      </c>
      <c r="AY409" s="2198" t="s">
        <v>3285</v>
      </c>
    </row>
    <row r="410" spans="2:65" s="2202" customFormat="1">
      <c r="B410" s="2203"/>
      <c r="D410" s="2197" t="s">
        <v>3303</v>
      </c>
      <c r="E410" s="2204" t="s">
        <v>3146</v>
      </c>
      <c r="F410" s="2205" t="s">
        <v>3305</v>
      </c>
      <c r="H410" s="2206">
        <v>35.207999999999998</v>
      </c>
      <c r="L410" s="2203"/>
      <c r="M410" s="2207"/>
      <c r="T410" s="2208"/>
      <c r="AT410" s="2204" t="s">
        <v>3303</v>
      </c>
      <c r="AU410" s="2204" t="s">
        <v>134</v>
      </c>
      <c r="AV410" s="2202" t="s">
        <v>854</v>
      </c>
      <c r="AW410" s="2202" t="s">
        <v>3171</v>
      </c>
      <c r="AX410" s="2202" t="s">
        <v>3213</v>
      </c>
      <c r="AY410" s="2204" t="s">
        <v>3285</v>
      </c>
    </row>
    <row r="411" spans="2:65" s="2209" customFormat="1">
      <c r="B411" s="2210"/>
      <c r="D411" s="2197" t="s">
        <v>3303</v>
      </c>
      <c r="E411" s="2211" t="s">
        <v>3146</v>
      </c>
      <c r="F411" s="2212" t="s">
        <v>10729</v>
      </c>
      <c r="H411" s="2213">
        <v>2471.8789999999999</v>
      </c>
      <c r="L411" s="2210"/>
      <c r="M411" s="2214"/>
      <c r="T411" s="2215"/>
      <c r="AT411" s="2211" t="s">
        <v>3303</v>
      </c>
      <c r="AU411" s="2211" t="s">
        <v>134</v>
      </c>
      <c r="AV411" s="2209" t="s">
        <v>134</v>
      </c>
      <c r="AW411" s="2209" t="s">
        <v>3171</v>
      </c>
      <c r="AX411" s="2209" t="s">
        <v>3213</v>
      </c>
      <c r="AY411" s="2211" t="s">
        <v>3285</v>
      </c>
    </row>
    <row r="412" spans="2:65" s="2195" customFormat="1">
      <c r="B412" s="2196"/>
      <c r="D412" s="2197" t="s">
        <v>3303</v>
      </c>
      <c r="E412" s="2198" t="s">
        <v>3146</v>
      </c>
      <c r="F412" s="2199" t="s">
        <v>3661</v>
      </c>
      <c r="H412" s="2198" t="s">
        <v>3146</v>
      </c>
      <c r="L412" s="2196"/>
      <c r="M412" s="2200"/>
      <c r="T412" s="2201"/>
      <c r="AT412" s="2198" t="s">
        <v>3303</v>
      </c>
      <c r="AU412" s="2198" t="s">
        <v>134</v>
      </c>
      <c r="AV412" s="2195" t="s">
        <v>133</v>
      </c>
      <c r="AW412" s="2195" t="s">
        <v>3171</v>
      </c>
      <c r="AX412" s="2195" t="s">
        <v>3213</v>
      </c>
      <c r="AY412" s="2198" t="s">
        <v>3285</v>
      </c>
    </row>
    <row r="413" spans="2:65" s="2209" customFormat="1">
      <c r="B413" s="2210"/>
      <c r="D413" s="2197" t="s">
        <v>3303</v>
      </c>
      <c r="E413" s="2211" t="s">
        <v>3146</v>
      </c>
      <c r="F413" s="2212" t="s">
        <v>10730</v>
      </c>
      <c r="H413" s="2213">
        <v>1426.2329999999999</v>
      </c>
      <c r="L413" s="2210"/>
      <c r="M413" s="2214"/>
      <c r="T413" s="2215"/>
      <c r="AT413" s="2211" t="s">
        <v>3303</v>
      </c>
      <c r="AU413" s="2211" t="s">
        <v>134</v>
      </c>
      <c r="AV413" s="2209" t="s">
        <v>134</v>
      </c>
      <c r="AW413" s="2209" t="s">
        <v>3171</v>
      </c>
      <c r="AX413" s="2209" t="s">
        <v>3213</v>
      </c>
      <c r="AY413" s="2211" t="s">
        <v>3285</v>
      </c>
    </row>
    <row r="414" spans="2:65" s="2195" customFormat="1">
      <c r="B414" s="2196"/>
      <c r="D414" s="2197" t="s">
        <v>3303</v>
      </c>
      <c r="E414" s="2198" t="s">
        <v>3146</v>
      </c>
      <c r="F414" s="2199" t="s">
        <v>3578</v>
      </c>
      <c r="H414" s="2198" t="s">
        <v>3146</v>
      </c>
      <c r="L414" s="2196"/>
      <c r="M414" s="2200"/>
      <c r="T414" s="2201"/>
      <c r="AT414" s="2198" t="s">
        <v>3303</v>
      </c>
      <c r="AU414" s="2198" t="s">
        <v>134</v>
      </c>
      <c r="AV414" s="2195" t="s">
        <v>133</v>
      </c>
      <c r="AW414" s="2195" t="s">
        <v>3171</v>
      </c>
      <c r="AX414" s="2195" t="s">
        <v>3213</v>
      </c>
      <c r="AY414" s="2198" t="s">
        <v>3285</v>
      </c>
    </row>
    <row r="415" spans="2:65" s="2209" customFormat="1">
      <c r="B415" s="2210"/>
      <c r="D415" s="2197" t="s">
        <v>3303</v>
      </c>
      <c r="E415" s="2211" t="s">
        <v>3146</v>
      </c>
      <c r="F415" s="2212" t="s">
        <v>10731</v>
      </c>
      <c r="H415" s="2213">
        <v>1575.125</v>
      </c>
      <c r="L415" s="2210"/>
      <c r="M415" s="2214"/>
      <c r="T415" s="2215"/>
      <c r="AT415" s="2211" t="s">
        <v>3303</v>
      </c>
      <c r="AU415" s="2211" t="s">
        <v>134</v>
      </c>
      <c r="AV415" s="2209" t="s">
        <v>134</v>
      </c>
      <c r="AW415" s="2209" t="s">
        <v>3171</v>
      </c>
      <c r="AX415" s="2209" t="s">
        <v>3213</v>
      </c>
      <c r="AY415" s="2211" t="s">
        <v>3285</v>
      </c>
    </row>
    <row r="416" spans="2:65" s="2195" customFormat="1">
      <c r="B416" s="2196"/>
      <c r="D416" s="2197" t="s">
        <v>3303</v>
      </c>
      <c r="E416" s="2198" t="s">
        <v>3146</v>
      </c>
      <c r="F416" s="2199" t="s">
        <v>3580</v>
      </c>
      <c r="H416" s="2198" t="s">
        <v>3146</v>
      </c>
      <c r="L416" s="2196"/>
      <c r="M416" s="2200"/>
      <c r="T416" s="2201"/>
      <c r="AT416" s="2198" t="s">
        <v>3303</v>
      </c>
      <c r="AU416" s="2198" t="s">
        <v>134</v>
      </c>
      <c r="AV416" s="2195" t="s">
        <v>133</v>
      </c>
      <c r="AW416" s="2195" t="s">
        <v>3171</v>
      </c>
      <c r="AX416" s="2195" t="s">
        <v>3213</v>
      </c>
      <c r="AY416" s="2198" t="s">
        <v>3285</v>
      </c>
    </row>
    <row r="417" spans="2:65" s="2209" customFormat="1">
      <c r="B417" s="2210"/>
      <c r="D417" s="2197" t="s">
        <v>3303</v>
      </c>
      <c r="E417" s="2211" t="s">
        <v>3146</v>
      </c>
      <c r="F417" s="2212" t="s">
        <v>10732</v>
      </c>
      <c r="H417" s="2213">
        <v>1515.345</v>
      </c>
      <c r="L417" s="2210"/>
      <c r="M417" s="2214"/>
      <c r="T417" s="2215"/>
      <c r="AT417" s="2211" t="s">
        <v>3303</v>
      </c>
      <c r="AU417" s="2211" t="s">
        <v>134</v>
      </c>
      <c r="AV417" s="2209" t="s">
        <v>134</v>
      </c>
      <c r="AW417" s="2209" t="s">
        <v>3171</v>
      </c>
      <c r="AX417" s="2209" t="s">
        <v>3213</v>
      </c>
      <c r="AY417" s="2211" t="s">
        <v>3285</v>
      </c>
    </row>
    <row r="418" spans="2:65" s="2195" customFormat="1">
      <c r="B418" s="2196"/>
      <c r="D418" s="2197" t="s">
        <v>3303</v>
      </c>
      <c r="E418" s="2198" t="s">
        <v>3146</v>
      </c>
      <c r="F418" s="2199" t="s">
        <v>10733</v>
      </c>
      <c r="H418" s="2198" t="s">
        <v>3146</v>
      </c>
      <c r="L418" s="2196"/>
      <c r="M418" s="2200"/>
      <c r="T418" s="2201"/>
      <c r="AT418" s="2198" t="s">
        <v>3303</v>
      </c>
      <c r="AU418" s="2198" t="s">
        <v>134</v>
      </c>
      <c r="AV418" s="2195" t="s">
        <v>133</v>
      </c>
      <c r="AW418" s="2195" t="s">
        <v>3171</v>
      </c>
      <c r="AX418" s="2195" t="s">
        <v>3213</v>
      </c>
      <c r="AY418" s="2198" t="s">
        <v>3285</v>
      </c>
    </row>
    <row r="419" spans="2:65" s="2209" customFormat="1">
      <c r="B419" s="2210"/>
      <c r="D419" s="2197" t="s">
        <v>3303</v>
      </c>
      <c r="E419" s="2211" t="s">
        <v>3146</v>
      </c>
      <c r="F419" s="2212" t="s">
        <v>10734</v>
      </c>
      <c r="H419" s="2213">
        <v>25.6</v>
      </c>
      <c r="L419" s="2210"/>
      <c r="M419" s="2214"/>
      <c r="T419" s="2215"/>
      <c r="AT419" s="2211" t="s">
        <v>3303</v>
      </c>
      <c r="AU419" s="2211" t="s">
        <v>134</v>
      </c>
      <c r="AV419" s="2209" t="s">
        <v>134</v>
      </c>
      <c r="AW419" s="2209" t="s">
        <v>3171</v>
      </c>
      <c r="AX419" s="2209" t="s">
        <v>3213</v>
      </c>
      <c r="AY419" s="2211" t="s">
        <v>3285</v>
      </c>
    </row>
    <row r="420" spans="2:65" s="2209" customFormat="1">
      <c r="B420" s="2210"/>
      <c r="D420" s="2197" t="s">
        <v>3303</v>
      </c>
      <c r="E420" s="2211" t="s">
        <v>3146</v>
      </c>
      <c r="F420" s="2212" t="s">
        <v>10735</v>
      </c>
      <c r="H420" s="2213">
        <v>476.75200000000001</v>
      </c>
      <c r="L420" s="2210"/>
      <c r="M420" s="2214"/>
      <c r="T420" s="2215"/>
      <c r="AT420" s="2211" t="s">
        <v>3303</v>
      </c>
      <c r="AU420" s="2211" t="s">
        <v>134</v>
      </c>
      <c r="AV420" s="2209" t="s">
        <v>134</v>
      </c>
      <c r="AW420" s="2209" t="s">
        <v>3171</v>
      </c>
      <c r="AX420" s="2209" t="s">
        <v>3213</v>
      </c>
      <c r="AY420" s="2211" t="s">
        <v>3285</v>
      </c>
    </row>
    <row r="421" spans="2:65" s="2216" customFormat="1">
      <c r="B421" s="2217"/>
      <c r="D421" s="2197" t="s">
        <v>3303</v>
      </c>
      <c r="E421" s="2218" t="s">
        <v>3146</v>
      </c>
      <c r="F421" s="2219" t="s">
        <v>3306</v>
      </c>
      <c r="H421" s="2220">
        <v>7526.1419999999998</v>
      </c>
      <c r="L421" s="2217"/>
      <c r="M421" s="2221"/>
      <c r="T421" s="2222"/>
      <c r="AT421" s="2218" t="s">
        <v>3303</v>
      </c>
      <c r="AU421" s="2218" t="s">
        <v>134</v>
      </c>
      <c r="AV421" s="2216" t="s">
        <v>856</v>
      </c>
      <c r="AW421" s="2216" t="s">
        <v>3171</v>
      </c>
      <c r="AX421" s="2216" t="s">
        <v>133</v>
      </c>
      <c r="AY421" s="2218" t="s">
        <v>3285</v>
      </c>
    </row>
    <row r="422" spans="2:65" s="2209" customFormat="1">
      <c r="B422" s="2210"/>
      <c r="D422" s="2197" t="s">
        <v>3303</v>
      </c>
      <c r="F422" s="2212" t="s">
        <v>10736</v>
      </c>
      <c r="H422" s="2213">
        <v>8655.0630000000001</v>
      </c>
      <c r="L422" s="2210"/>
      <c r="M422" s="2214"/>
      <c r="T422" s="2215"/>
      <c r="AT422" s="2211" t="s">
        <v>3303</v>
      </c>
      <c r="AU422" s="2211" t="s">
        <v>134</v>
      </c>
      <c r="AV422" s="2209" t="s">
        <v>134</v>
      </c>
      <c r="AW422" s="2209" t="s">
        <v>3148</v>
      </c>
      <c r="AX422" s="2209" t="s">
        <v>133</v>
      </c>
      <c r="AY422" s="2211" t="s">
        <v>3285</v>
      </c>
    </row>
    <row r="423" spans="2:65" s="2070" customFormat="1" ht="16.5" customHeight="1">
      <c r="B423" s="2164"/>
      <c r="C423" s="4608">
        <v>63</v>
      </c>
      <c r="D423" s="4608" t="s">
        <v>3286</v>
      </c>
      <c r="E423" s="4609" t="s">
        <v>3540</v>
      </c>
      <c r="F423" s="4610" t="s">
        <v>3541</v>
      </c>
      <c r="G423" s="4611" t="s">
        <v>611</v>
      </c>
      <c r="H423" s="4612">
        <v>8655.0630000000001</v>
      </c>
      <c r="I423" s="4613"/>
      <c r="J423" s="4613">
        <f>ROUND(I423*H423,2)</f>
        <v>0</v>
      </c>
      <c r="K423" s="4610" t="s">
        <v>142</v>
      </c>
      <c r="L423" s="2071"/>
      <c r="M423" s="2190" t="s">
        <v>3146</v>
      </c>
      <c r="N423" s="2163" t="s">
        <v>3181</v>
      </c>
      <c r="O423" s="2191">
        <v>0.17599999999999999</v>
      </c>
      <c r="P423" s="2191">
        <f>O423*H423</f>
        <v>1523.2910879999999</v>
      </c>
      <c r="Q423" s="2191">
        <v>0</v>
      </c>
      <c r="R423" s="2191">
        <f>Q423*H423</f>
        <v>0</v>
      </c>
      <c r="S423" s="2191">
        <v>0</v>
      </c>
      <c r="T423" s="2192">
        <f>S423*H423</f>
        <v>0</v>
      </c>
      <c r="AR423" s="2193" t="s">
        <v>856</v>
      </c>
      <c r="AT423" s="2193" t="s">
        <v>3286</v>
      </c>
      <c r="AU423" s="2193" t="s">
        <v>134</v>
      </c>
      <c r="AY423" s="2056" t="s">
        <v>3285</v>
      </c>
      <c r="BE423" s="2194">
        <f>IF(N423="základní",J423,0)</f>
        <v>0</v>
      </c>
      <c r="BF423" s="2194">
        <f>IF(N423="snížená",J423,0)</f>
        <v>0</v>
      </c>
      <c r="BG423" s="2194">
        <f>IF(N423="zákl. přenesená",J423,0)</f>
        <v>0</v>
      </c>
      <c r="BH423" s="2194">
        <f>IF(N423="sníž. přenesená",J423,0)</f>
        <v>0</v>
      </c>
      <c r="BI423" s="2194">
        <f>IF(N423="nulová",J423,0)</f>
        <v>0</v>
      </c>
      <c r="BJ423" s="2056" t="s">
        <v>134</v>
      </c>
      <c r="BK423" s="2194">
        <f>ROUND(I423*H423,2)</f>
        <v>0</v>
      </c>
      <c r="BL423" s="2056" t="s">
        <v>856</v>
      </c>
      <c r="BM423" s="2193" t="s">
        <v>3542</v>
      </c>
    </row>
    <row r="424" spans="2:65" s="2209" customFormat="1">
      <c r="B424" s="2210"/>
      <c r="D424" s="2197" t="s">
        <v>3303</v>
      </c>
      <c r="F424" s="2212" t="s">
        <v>10737</v>
      </c>
      <c r="H424" s="2213">
        <v>8655.0630000000001</v>
      </c>
      <c r="L424" s="2210"/>
      <c r="M424" s="2214"/>
      <c r="T424" s="2215"/>
      <c r="AT424" s="2211" t="s">
        <v>3303</v>
      </c>
      <c r="AU424" s="2211" t="s">
        <v>134</v>
      </c>
      <c r="AV424" s="2209" t="s">
        <v>134</v>
      </c>
      <c r="AW424" s="2209" t="s">
        <v>3148</v>
      </c>
      <c r="AX424" s="2209" t="s">
        <v>133</v>
      </c>
      <c r="AY424" s="2211" t="s">
        <v>3285</v>
      </c>
    </row>
    <row r="425" spans="2:65" s="2070" customFormat="1" ht="24.2" customHeight="1">
      <c r="B425" s="2164"/>
      <c r="C425" s="4608">
        <v>64</v>
      </c>
      <c r="D425" s="4608" t="s">
        <v>3286</v>
      </c>
      <c r="E425" s="4609" t="s">
        <v>3543</v>
      </c>
      <c r="F425" s="4610" t="s">
        <v>3544</v>
      </c>
      <c r="G425" s="4611" t="s">
        <v>611</v>
      </c>
      <c r="H425" s="4612">
        <v>19.82</v>
      </c>
      <c r="I425" s="4613"/>
      <c r="J425" s="4613">
        <f>ROUND(I425*H425,2)</f>
        <v>0</v>
      </c>
      <c r="K425" s="4610" t="s">
        <v>142</v>
      </c>
      <c r="L425" s="2071"/>
      <c r="M425" s="2190" t="s">
        <v>3146</v>
      </c>
      <c r="N425" s="2163" t="s">
        <v>3181</v>
      </c>
      <c r="O425" s="2191">
        <v>1.0720000000000001</v>
      </c>
      <c r="P425" s="2191">
        <f>O425*H425</f>
        <v>21.247040000000002</v>
      </c>
      <c r="Q425" s="2191">
        <v>4.0800000000000003E-3</v>
      </c>
      <c r="R425" s="2191">
        <f>Q425*H425</f>
        <v>8.086560000000001E-2</v>
      </c>
      <c r="S425" s="2191">
        <v>0</v>
      </c>
      <c r="T425" s="2192">
        <f>S425*H425</f>
        <v>0</v>
      </c>
      <c r="AR425" s="2193" t="s">
        <v>856</v>
      </c>
      <c r="AT425" s="2193" t="s">
        <v>3286</v>
      </c>
      <c r="AU425" s="2193" t="s">
        <v>134</v>
      </c>
      <c r="AY425" s="2056" t="s">
        <v>3285</v>
      </c>
      <c r="BE425" s="2194">
        <f>IF(N425="základní",J425,0)</f>
        <v>0</v>
      </c>
      <c r="BF425" s="2194">
        <f>IF(N425="snížená",J425,0)</f>
        <v>0</v>
      </c>
      <c r="BG425" s="2194">
        <f>IF(N425="zákl. přenesená",J425,0)</f>
        <v>0</v>
      </c>
      <c r="BH425" s="2194">
        <f>IF(N425="sníž. přenesená",J425,0)</f>
        <v>0</v>
      </c>
      <c r="BI425" s="2194">
        <f>IF(N425="nulová",J425,0)</f>
        <v>0</v>
      </c>
      <c r="BJ425" s="2056" t="s">
        <v>134</v>
      </c>
      <c r="BK425" s="2194">
        <f>ROUND(I425*H425,2)</f>
        <v>0</v>
      </c>
      <c r="BL425" s="2056" t="s">
        <v>856</v>
      </c>
      <c r="BM425" s="2193" t="s">
        <v>3545</v>
      </c>
    </row>
    <row r="426" spans="2:65" s="2209" customFormat="1">
      <c r="B426" s="2210"/>
      <c r="D426" s="2197" t="s">
        <v>3303</v>
      </c>
      <c r="E426" s="2211" t="s">
        <v>3146</v>
      </c>
      <c r="F426" s="2212" t="s">
        <v>3546</v>
      </c>
      <c r="H426" s="2213">
        <v>19.82</v>
      </c>
      <c r="L426" s="2210"/>
      <c r="M426" s="2214"/>
      <c r="T426" s="2215"/>
      <c r="AT426" s="2211" t="s">
        <v>3303</v>
      </c>
      <c r="AU426" s="2211" t="s">
        <v>134</v>
      </c>
      <c r="AV426" s="2209" t="s">
        <v>134</v>
      </c>
      <c r="AW426" s="2209" t="s">
        <v>3171</v>
      </c>
      <c r="AX426" s="2209" t="s">
        <v>133</v>
      </c>
      <c r="AY426" s="2211" t="s">
        <v>3285</v>
      </c>
    </row>
    <row r="427" spans="2:65" s="2070" customFormat="1" ht="24.2" customHeight="1">
      <c r="B427" s="2164"/>
      <c r="C427" s="4608">
        <v>65</v>
      </c>
      <c r="D427" s="4608" t="s">
        <v>3286</v>
      </c>
      <c r="E427" s="4609" t="s">
        <v>3548</v>
      </c>
      <c r="F427" s="4610" t="s">
        <v>3549</v>
      </c>
      <c r="G427" s="4611" t="s">
        <v>611</v>
      </c>
      <c r="H427" s="4612">
        <v>19.82</v>
      </c>
      <c r="I427" s="4613"/>
      <c r="J427" s="4613">
        <f>ROUND(I427*H427,2)</f>
        <v>0</v>
      </c>
      <c r="K427" s="4610" t="s">
        <v>142</v>
      </c>
      <c r="L427" s="2071"/>
      <c r="M427" s="2190" t="s">
        <v>3146</v>
      </c>
      <c r="N427" s="2163" t="s">
        <v>3181</v>
      </c>
      <c r="O427" s="2191">
        <v>0.29499999999999998</v>
      </c>
      <c r="P427" s="2191">
        <f>O427*H427</f>
        <v>5.8468999999999998</v>
      </c>
      <c r="Q427" s="2191">
        <v>0</v>
      </c>
      <c r="R427" s="2191">
        <f>Q427*H427</f>
        <v>0</v>
      </c>
      <c r="S427" s="2191">
        <v>0</v>
      </c>
      <c r="T427" s="2192">
        <f>S427*H427</f>
        <v>0</v>
      </c>
      <c r="AR427" s="2193" t="s">
        <v>856</v>
      </c>
      <c r="AT427" s="2193" t="s">
        <v>3286</v>
      </c>
      <c r="AU427" s="2193" t="s">
        <v>134</v>
      </c>
      <c r="AY427" s="2056" t="s">
        <v>3285</v>
      </c>
      <c r="BE427" s="2194">
        <f>IF(N427="základní",J427,0)</f>
        <v>0</v>
      </c>
      <c r="BF427" s="2194">
        <f>IF(N427="snížená",J427,0)</f>
        <v>0</v>
      </c>
      <c r="BG427" s="2194">
        <f>IF(N427="zákl. přenesená",J427,0)</f>
        <v>0</v>
      </c>
      <c r="BH427" s="2194">
        <f>IF(N427="sníž. přenesená",J427,0)</f>
        <v>0</v>
      </c>
      <c r="BI427" s="2194">
        <f>IF(N427="nulová",J427,0)</f>
        <v>0</v>
      </c>
      <c r="BJ427" s="2056" t="s">
        <v>134</v>
      </c>
      <c r="BK427" s="2194">
        <f>ROUND(I427*H427,2)</f>
        <v>0</v>
      </c>
      <c r="BL427" s="2056" t="s">
        <v>856</v>
      </c>
      <c r="BM427" s="2193" t="s">
        <v>3550</v>
      </c>
    </row>
    <row r="428" spans="2:65" s="2070" customFormat="1" ht="24.2" customHeight="1">
      <c r="B428" s="2164"/>
      <c r="C428" s="4608">
        <v>66</v>
      </c>
      <c r="D428" s="4608" t="s">
        <v>3286</v>
      </c>
      <c r="E428" s="4609" t="s">
        <v>3552</v>
      </c>
      <c r="F428" s="4610" t="s">
        <v>3553</v>
      </c>
      <c r="G428" s="4611" t="s">
        <v>611</v>
      </c>
      <c r="H428" s="4612">
        <v>302.76799999999997</v>
      </c>
      <c r="I428" s="4613"/>
      <c r="J428" s="4613">
        <f>ROUND(I428*H428,2)</f>
        <v>0</v>
      </c>
      <c r="K428" s="4610" t="s">
        <v>142</v>
      </c>
      <c r="L428" s="2071"/>
      <c r="M428" s="2190" t="s">
        <v>3146</v>
      </c>
      <c r="N428" s="2163" t="s">
        <v>3181</v>
      </c>
      <c r="O428" s="2191">
        <v>5.2999999999999999E-2</v>
      </c>
      <c r="P428" s="2191">
        <f>O428*H428</f>
        <v>16.046703999999998</v>
      </c>
      <c r="Q428" s="2191">
        <v>2.5999999999999999E-3</v>
      </c>
      <c r="R428" s="2191">
        <f>Q428*H428</f>
        <v>0.78719679999999992</v>
      </c>
      <c r="S428" s="2191">
        <v>0</v>
      </c>
      <c r="T428" s="2192">
        <f>S428*H428</f>
        <v>0</v>
      </c>
      <c r="AR428" s="2193" t="s">
        <v>856</v>
      </c>
      <c r="AT428" s="2193" t="s">
        <v>3286</v>
      </c>
      <c r="AU428" s="2193" t="s">
        <v>134</v>
      </c>
      <c r="AY428" s="2056" t="s">
        <v>3285</v>
      </c>
      <c r="BE428" s="2194">
        <f>IF(N428="základní",J428,0)</f>
        <v>0</v>
      </c>
      <c r="BF428" s="2194">
        <f>IF(N428="snížená",J428,0)</f>
        <v>0</v>
      </c>
      <c r="BG428" s="2194">
        <f>IF(N428="zákl. přenesená",J428,0)</f>
        <v>0</v>
      </c>
      <c r="BH428" s="2194">
        <f>IF(N428="sníž. přenesená",J428,0)</f>
        <v>0</v>
      </c>
      <c r="BI428" s="2194">
        <f>IF(N428="nulová",J428,0)</f>
        <v>0</v>
      </c>
      <c r="BJ428" s="2056" t="s">
        <v>134</v>
      </c>
      <c r="BK428" s="2194">
        <f>ROUND(I428*H428,2)</f>
        <v>0</v>
      </c>
      <c r="BL428" s="2056" t="s">
        <v>856</v>
      </c>
      <c r="BM428" s="2193" t="s">
        <v>3554</v>
      </c>
    </row>
    <row r="429" spans="2:65" s="2195" customFormat="1">
      <c r="B429" s="2196"/>
      <c r="D429" s="2197" t="s">
        <v>3303</v>
      </c>
      <c r="E429" s="2198" t="s">
        <v>3146</v>
      </c>
      <c r="F429" s="2199" t="s">
        <v>3517</v>
      </c>
      <c r="H429" s="2198" t="s">
        <v>3146</v>
      </c>
      <c r="L429" s="2196"/>
      <c r="M429" s="2200"/>
      <c r="T429" s="2201"/>
      <c r="AT429" s="2198" t="s">
        <v>3303</v>
      </c>
      <c r="AU429" s="2198" t="s">
        <v>134</v>
      </c>
      <c r="AV429" s="2195" t="s">
        <v>133</v>
      </c>
      <c r="AW429" s="2195" t="s">
        <v>3171</v>
      </c>
      <c r="AX429" s="2195" t="s">
        <v>3213</v>
      </c>
      <c r="AY429" s="2198" t="s">
        <v>3285</v>
      </c>
    </row>
    <row r="430" spans="2:65" s="2209" customFormat="1" ht="22.5">
      <c r="B430" s="2210"/>
      <c r="D430" s="2197" t="s">
        <v>3303</v>
      </c>
      <c r="E430" s="2211" t="s">
        <v>3146</v>
      </c>
      <c r="F430" s="2212" t="s">
        <v>3536</v>
      </c>
      <c r="H430" s="2213">
        <v>91.727999999999994</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3537</v>
      </c>
      <c r="H431" s="2213">
        <v>32.256</v>
      </c>
      <c r="L431" s="2210"/>
      <c r="M431" s="2214"/>
      <c r="T431" s="2215"/>
      <c r="AT431" s="2211" t="s">
        <v>3303</v>
      </c>
      <c r="AU431" s="2211" t="s">
        <v>134</v>
      </c>
      <c r="AV431" s="2209" t="s">
        <v>134</v>
      </c>
      <c r="AW431" s="2209" t="s">
        <v>3171</v>
      </c>
      <c r="AX431" s="2209" t="s">
        <v>3213</v>
      </c>
      <c r="AY431" s="2211" t="s">
        <v>3285</v>
      </c>
    </row>
    <row r="432" spans="2:65" s="2209" customFormat="1" ht="22.5">
      <c r="B432" s="2210"/>
      <c r="D432" s="2197" t="s">
        <v>3303</v>
      </c>
      <c r="E432" s="2211" t="s">
        <v>3146</v>
      </c>
      <c r="F432" s="2212" t="s">
        <v>3538</v>
      </c>
      <c r="H432" s="2213">
        <v>158.98400000000001</v>
      </c>
      <c r="L432" s="2210"/>
      <c r="M432" s="2214"/>
      <c r="T432" s="2215"/>
      <c r="AT432" s="2211" t="s">
        <v>3303</v>
      </c>
      <c r="AU432" s="2211" t="s">
        <v>134</v>
      </c>
      <c r="AV432" s="2209" t="s">
        <v>134</v>
      </c>
      <c r="AW432" s="2209" t="s">
        <v>3171</v>
      </c>
      <c r="AX432" s="2209" t="s">
        <v>3213</v>
      </c>
      <c r="AY432" s="2211" t="s">
        <v>3285</v>
      </c>
    </row>
    <row r="433" spans="2:65" s="2209" customFormat="1">
      <c r="B433" s="2210"/>
      <c r="D433" s="2197" t="s">
        <v>3303</v>
      </c>
      <c r="E433" s="2211" t="s">
        <v>3146</v>
      </c>
      <c r="F433" s="2212" t="s">
        <v>3539</v>
      </c>
      <c r="H433" s="2213">
        <v>19.8</v>
      </c>
      <c r="L433" s="2210"/>
      <c r="M433" s="2214"/>
      <c r="T433" s="2215"/>
      <c r="AT433" s="2211" t="s">
        <v>3303</v>
      </c>
      <c r="AU433" s="2211" t="s">
        <v>134</v>
      </c>
      <c r="AV433" s="2209" t="s">
        <v>134</v>
      </c>
      <c r="AW433" s="2209" t="s">
        <v>3171</v>
      </c>
      <c r="AX433" s="2209" t="s">
        <v>3213</v>
      </c>
      <c r="AY433" s="2211" t="s">
        <v>3285</v>
      </c>
    </row>
    <row r="434" spans="2:65" s="2202" customFormat="1">
      <c r="B434" s="2203"/>
      <c r="D434" s="2197" t="s">
        <v>3303</v>
      </c>
      <c r="E434" s="2204" t="s">
        <v>3146</v>
      </c>
      <c r="F434" s="2205" t="s">
        <v>3305</v>
      </c>
      <c r="H434" s="2206">
        <v>302.76799999999997</v>
      </c>
      <c r="L434" s="2203"/>
      <c r="M434" s="2207"/>
      <c r="T434" s="2208"/>
      <c r="AT434" s="2204" t="s">
        <v>3303</v>
      </c>
      <c r="AU434" s="2204" t="s">
        <v>134</v>
      </c>
      <c r="AV434" s="2202" t="s">
        <v>854</v>
      </c>
      <c r="AW434" s="2202" t="s">
        <v>3171</v>
      </c>
      <c r="AX434" s="2202" t="s">
        <v>3213</v>
      </c>
      <c r="AY434" s="2204" t="s">
        <v>3285</v>
      </c>
    </row>
    <row r="435" spans="2:65" s="2216" customFormat="1">
      <c r="B435" s="2217"/>
      <c r="D435" s="2197" t="s">
        <v>3303</v>
      </c>
      <c r="E435" s="2218" t="s">
        <v>3146</v>
      </c>
      <c r="F435" s="2219" t="s">
        <v>3306</v>
      </c>
      <c r="H435" s="2220">
        <v>302.76799999999997</v>
      </c>
      <c r="L435" s="2217"/>
      <c r="M435" s="2221"/>
      <c r="T435" s="2222"/>
      <c r="AT435" s="2218" t="s">
        <v>3303</v>
      </c>
      <c r="AU435" s="2218" t="s">
        <v>134</v>
      </c>
      <c r="AV435" s="2216" t="s">
        <v>856</v>
      </c>
      <c r="AW435" s="2216" t="s">
        <v>3171</v>
      </c>
      <c r="AX435" s="2216" t="s">
        <v>133</v>
      </c>
      <c r="AY435" s="2218" t="s">
        <v>3285</v>
      </c>
    </row>
    <row r="436" spans="2:65" s="2070" customFormat="1" ht="16.5" customHeight="1">
      <c r="B436" s="2164"/>
      <c r="C436" s="4608">
        <v>67</v>
      </c>
      <c r="D436" s="4608" t="s">
        <v>3286</v>
      </c>
      <c r="E436" s="4609" t="s">
        <v>3556</v>
      </c>
      <c r="F436" s="4610" t="s">
        <v>3557</v>
      </c>
      <c r="G436" s="4611" t="s">
        <v>302</v>
      </c>
      <c r="H436" s="4612">
        <v>88.442999999999998</v>
      </c>
      <c r="I436" s="4613"/>
      <c r="J436" s="4613">
        <f>ROUND(I436*H436,2)</f>
        <v>0</v>
      </c>
      <c r="K436" s="4610" t="s">
        <v>142</v>
      </c>
      <c r="L436" s="2071"/>
      <c r="M436" s="2190" t="s">
        <v>3146</v>
      </c>
      <c r="N436" s="2163" t="s">
        <v>3181</v>
      </c>
      <c r="O436" s="2191">
        <v>25.327000000000002</v>
      </c>
      <c r="P436" s="2191">
        <f>O436*H436</f>
        <v>2239.9958609999999</v>
      </c>
      <c r="Q436" s="2191">
        <v>1.0463199999999999</v>
      </c>
      <c r="R436" s="2191">
        <f>Q436*H436</f>
        <v>92.539679759999984</v>
      </c>
      <c r="S436" s="2191">
        <v>0</v>
      </c>
      <c r="T436" s="2192">
        <f>S436*H436</f>
        <v>0</v>
      </c>
      <c r="AR436" s="2193" t="s">
        <v>856</v>
      </c>
      <c r="AT436" s="2193" t="s">
        <v>3286</v>
      </c>
      <c r="AU436" s="2193" t="s">
        <v>134</v>
      </c>
      <c r="AY436" s="2056" t="s">
        <v>3285</v>
      </c>
      <c r="BE436" s="2194">
        <f>IF(N436="základní",J436,0)</f>
        <v>0</v>
      </c>
      <c r="BF436" s="2194">
        <f>IF(N436="snížená",J436,0)</f>
        <v>0</v>
      </c>
      <c r="BG436" s="2194">
        <f>IF(N436="zákl. přenesená",J436,0)</f>
        <v>0</v>
      </c>
      <c r="BH436" s="2194">
        <f>IF(N436="sníž. přenesená",J436,0)</f>
        <v>0</v>
      </c>
      <c r="BI436" s="2194">
        <f>IF(N436="nulová",J436,0)</f>
        <v>0</v>
      </c>
      <c r="BJ436" s="2056" t="s">
        <v>134</v>
      </c>
      <c r="BK436" s="2194">
        <f>ROUND(I436*H436,2)</f>
        <v>0</v>
      </c>
      <c r="BL436" s="2056" t="s">
        <v>856</v>
      </c>
      <c r="BM436" s="2193" t="s">
        <v>3558</v>
      </c>
    </row>
    <row r="437" spans="2:65" s="2209" customFormat="1">
      <c r="B437" s="2210"/>
      <c r="D437" s="2197" t="s">
        <v>3303</v>
      </c>
      <c r="E437" s="2211" t="s">
        <v>3146</v>
      </c>
      <c r="F437" s="2212" t="s">
        <v>10738</v>
      </c>
      <c r="H437" s="2213">
        <v>82.613</v>
      </c>
      <c r="L437" s="2210"/>
      <c r="M437" s="2214"/>
      <c r="T437" s="2215"/>
      <c r="AT437" s="2211" t="s">
        <v>3303</v>
      </c>
      <c r="AU437" s="2211" t="s">
        <v>134</v>
      </c>
      <c r="AV437" s="2209" t="s">
        <v>134</v>
      </c>
      <c r="AW437" s="2209" t="s">
        <v>3171</v>
      </c>
      <c r="AX437" s="2209" t="s">
        <v>3213</v>
      </c>
      <c r="AY437" s="2211" t="s">
        <v>3285</v>
      </c>
    </row>
    <row r="438" spans="2:65" s="2209" customFormat="1">
      <c r="B438" s="2210"/>
      <c r="D438" s="2197" t="s">
        <v>3303</v>
      </c>
      <c r="E438" s="2211" t="s">
        <v>3146</v>
      </c>
      <c r="F438" s="2212" t="s">
        <v>10739</v>
      </c>
      <c r="H438" s="2213">
        <v>3.254</v>
      </c>
      <c r="L438" s="2210"/>
      <c r="M438" s="2214"/>
      <c r="T438" s="2215"/>
      <c r="AT438" s="2211" t="s">
        <v>3303</v>
      </c>
      <c r="AU438" s="2211" t="s">
        <v>134</v>
      </c>
      <c r="AV438" s="2209" t="s">
        <v>134</v>
      </c>
      <c r="AW438" s="2209" t="s">
        <v>3171</v>
      </c>
      <c r="AX438" s="2209" t="s">
        <v>3213</v>
      </c>
      <c r="AY438" s="2211" t="s">
        <v>3285</v>
      </c>
    </row>
    <row r="439" spans="2:65" s="2202" customFormat="1">
      <c r="B439" s="2203"/>
      <c r="D439" s="2197" t="s">
        <v>3303</v>
      </c>
      <c r="E439" s="2204" t="s">
        <v>3146</v>
      </c>
      <c r="F439" s="2205" t="s">
        <v>3305</v>
      </c>
      <c r="H439" s="2206">
        <v>85.867000000000004</v>
      </c>
      <c r="L439" s="2203"/>
      <c r="M439" s="2207"/>
      <c r="T439" s="2208"/>
      <c r="AT439" s="2204" t="s">
        <v>3303</v>
      </c>
      <c r="AU439" s="2204" t="s">
        <v>134</v>
      </c>
      <c r="AV439" s="2202" t="s">
        <v>854</v>
      </c>
      <c r="AW439" s="2202" t="s">
        <v>3171</v>
      </c>
      <c r="AX439" s="2202" t="s">
        <v>133</v>
      </c>
      <c r="AY439" s="2204" t="s">
        <v>3285</v>
      </c>
    </row>
    <row r="440" spans="2:65" s="2209" customFormat="1">
      <c r="B440" s="2210"/>
      <c r="D440" s="2197" t="s">
        <v>3303</v>
      </c>
      <c r="F440" s="2212" t="s">
        <v>10740</v>
      </c>
      <c r="H440" s="2213">
        <v>88.442999999999998</v>
      </c>
      <c r="L440" s="2210"/>
      <c r="M440" s="2214"/>
      <c r="T440" s="2215"/>
      <c r="AT440" s="2211" t="s">
        <v>3303</v>
      </c>
      <c r="AU440" s="2211" t="s">
        <v>134</v>
      </c>
      <c r="AV440" s="2209" t="s">
        <v>134</v>
      </c>
      <c r="AW440" s="2209" t="s">
        <v>3148</v>
      </c>
      <c r="AX440" s="2209" t="s">
        <v>133</v>
      </c>
      <c r="AY440" s="2211" t="s">
        <v>3285</v>
      </c>
    </row>
    <row r="441" spans="2:65" s="2070" customFormat="1" ht="24.2" customHeight="1">
      <c r="B441" s="2164"/>
      <c r="C441" s="4608">
        <v>68</v>
      </c>
      <c r="D441" s="4608" t="s">
        <v>3286</v>
      </c>
      <c r="E441" s="4609" t="s">
        <v>3560</v>
      </c>
      <c r="F441" s="4610" t="s">
        <v>3561</v>
      </c>
      <c r="G441" s="4611" t="s">
        <v>611</v>
      </c>
      <c r="H441" s="4612">
        <v>105.72</v>
      </c>
      <c r="I441" s="4613"/>
      <c r="J441" s="4613">
        <f>ROUND(I441*H441,2)</f>
        <v>0</v>
      </c>
      <c r="K441" s="4610" t="s">
        <v>142</v>
      </c>
      <c r="L441" s="2071"/>
      <c r="M441" s="2190" t="s">
        <v>3146</v>
      </c>
      <c r="N441" s="2163" t="s">
        <v>3181</v>
      </c>
      <c r="O441" s="2191">
        <v>0.54600000000000004</v>
      </c>
      <c r="P441" s="2191">
        <f>O441*H441</f>
        <v>57.723120000000002</v>
      </c>
      <c r="Q441" s="2191">
        <v>7.9210000000000003E-2</v>
      </c>
      <c r="R441" s="2191">
        <f>Q441*H441</f>
        <v>8.3740812000000009</v>
      </c>
      <c r="S441" s="2191">
        <v>0</v>
      </c>
      <c r="T441" s="2192">
        <f>S441*H441</f>
        <v>0</v>
      </c>
      <c r="AR441" s="2193" t="s">
        <v>856</v>
      </c>
      <c r="AT441" s="2193" t="s">
        <v>3286</v>
      </c>
      <c r="AU441" s="2193" t="s">
        <v>134</v>
      </c>
      <c r="AY441" s="2056" t="s">
        <v>3285</v>
      </c>
      <c r="BE441" s="2194">
        <f>IF(N441="základní",J441,0)</f>
        <v>0</v>
      </c>
      <c r="BF441" s="2194">
        <f>IF(N441="snížená",J441,0)</f>
        <v>0</v>
      </c>
      <c r="BG441" s="2194">
        <f>IF(N441="zákl. přenesená",J441,0)</f>
        <v>0</v>
      </c>
      <c r="BH441" s="2194">
        <f>IF(N441="sníž. přenesená",J441,0)</f>
        <v>0</v>
      </c>
      <c r="BI441" s="2194">
        <f>IF(N441="nulová",J441,0)</f>
        <v>0</v>
      </c>
      <c r="BJ441" s="2056" t="s">
        <v>134</v>
      </c>
      <c r="BK441" s="2194">
        <f>ROUND(I441*H441,2)</f>
        <v>0</v>
      </c>
      <c r="BL441" s="2056" t="s">
        <v>856</v>
      </c>
      <c r="BM441" s="2193" t="s">
        <v>3562</v>
      </c>
    </row>
    <row r="442" spans="2:65" s="2195" customFormat="1">
      <c r="B442" s="2196"/>
      <c r="D442" s="2197" t="s">
        <v>3303</v>
      </c>
      <c r="E442" s="2198" t="s">
        <v>3146</v>
      </c>
      <c r="F442" s="2199" t="s">
        <v>3563</v>
      </c>
      <c r="H442" s="2198" t="s">
        <v>3146</v>
      </c>
      <c r="L442" s="2196"/>
      <c r="M442" s="2200"/>
      <c r="T442" s="2201"/>
      <c r="AT442" s="2198" t="s">
        <v>3303</v>
      </c>
      <c r="AU442" s="2198" t="s">
        <v>134</v>
      </c>
      <c r="AV442" s="2195" t="s">
        <v>133</v>
      </c>
      <c r="AW442" s="2195" t="s">
        <v>3171</v>
      </c>
      <c r="AX442" s="2195" t="s">
        <v>3213</v>
      </c>
      <c r="AY442" s="2198" t="s">
        <v>3285</v>
      </c>
    </row>
    <row r="443" spans="2:65" s="2209" customFormat="1">
      <c r="B443" s="2210"/>
      <c r="D443" s="2197" t="s">
        <v>3303</v>
      </c>
      <c r="E443" s="2211" t="s">
        <v>3146</v>
      </c>
      <c r="F443" s="2212" t="s">
        <v>3564</v>
      </c>
      <c r="H443" s="2213">
        <v>105.72</v>
      </c>
      <c r="L443" s="2210"/>
      <c r="M443" s="2214"/>
      <c r="T443" s="2215"/>
      <c r="AT443" s="2211" t="s">
        <v>3303</v>
      </c>
      <c r="AU443" s="2211" t="s">
        <v>134</v>
      </c>
      <c r="AV443" s="2209" t="s">
        <v>134</v>
      </c>
      <c r="AW443" s="2209" t="s">
        <v>3171</v>
      </c>
      <c r="AX443" s="2209" t="s">
        <v>3213</v>
      </c>
      <c r="AY443" s="2211" t="s">
        <v>3285</v>
      </c>
    </row>
    <row r="444" spans="2:65" s="2216" customFormat="1">
      <c r="B444" s="2217"/>
      <c r="D444" s="2197" t="s">
        <v>3303</v>
      </c>
      <c r="E444" s="2218" t="s">
        <v>3146</v>
      </c>
      <c r="F444" s="2219" t="s">
        <v>3306</v>
      </c>
      <c r="H444" s="2220">
        <v>105.72</v>
      </c>
      <c r="L444" s="2217"/>
      <c r="M444" s="2221"/>
      <c r="T444" s="2222"/>
      <c r="AT444" s="2218" t="s">
        <v>3303</v>
      </c>
      <c r="AU444" s="2218" t="s">
        <v>134</v>
      </c>
      <c r="AV444" s="2216" t="s">
        <v>856</v>
      </c>
      <c r="AW444" s="2216" t="s">
        <v>3171</v>
      </c>
      <c r="AX444" s="2216" t="s">
        <v>133</v>
      </c>
      <c r="AY444" s="2218" t="s">
        <v>3285</v>
      </c>
    </row>
    <row r="445" spans="2:65" s="2070" customFormat="1" ht="21.75" customHeight="1">
      <c r="B445" s="2164"/>
      <c r="C445" s="4608">
        <v>69</v>
      </c>
      <c r="D445" s="4608" t="s">
        <v>3286</v>
      </c>
      <c r="E445" s="4609" t="s">
        <v>3566</v>
      </c>
      <c r="F445" s="4610" t="s">
        <v>3567</v>
      </c>
      <c r="G445" s="4611" t="s">
        <v>221</v>
      </c>
      <c r="H445" s="4612">
        <v>29.58</v>
      </c>
      <c r="I445" s="4613"/>
      <c r="J445" s="4613">
        <f>ROUND(I445*H445,2)</f>
        <v>0</v>
      </c>
      <c r="K445" s="4610" t="s">
        <v>142</v>
      </c>
      <c r="L445" s="2071"/>
      <c r="M445" s="2190" t="s">
        <v>3146</v>
      </c>
      <c r="N445" s="2163" t="s">
        <v>3181</v>
      </c>
      <c r="O445" s="2191">
        <v>1.4490000000000001</v>
      </c>
      <c r="P445" s="2191">
        <f>O445*H445</f>
        <v>42.861420000000003</v>
      </c>
      <c r="Q445" s="2191">
        <v>2.5018699999999998</v>
      </c>
      <c r="R445" s="2191">
        <f>Q445*H445</f>
        <v>74.005314599999991</v>
      </c>
      <c r="S445" s="2191">
        <v>0</v>
      </c>
      <c r="T445" s="2192">
        <f>S445*H445</f>
        <v>0</v>
      </c>
      <c r="AR445" s="2193" t="s">
        <v>856</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856</v>
      </c>
      <c r="BM445" s="2193" t="s">
        <v>3568</v>
      </c>
    </row>
    <row r="446" spans="2:65" s="2195" customFormat="1">
      <c r="B446" s="2196"/>
      <c r="D446" s="2197" t="s">
        <v>3303</v>
      </c>
      <c r="E446" s="2198" t="s">
        <v>3146</v>
      </c>
      <c r="F446" s="2199" t="s">
        <v>3569</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3570</v>
      </c>
      <c r="H447" s="2213">
        <v>29.58</v>
      </c>
      <c r="L447" s="2210"/>
      <c r="M447" s="2214"/>
      <c r="T447" s="2215"/>
      <c r="AT447" s="2211" t="s">
        <v>3303</v>
      </c>
      <c r="AU447" s="2211" t="s">
        <v>134</v>
      </c>
      <c r="AV447" s="2209" t="s">
        <v>134</v>
      </c>
      <c r="AW447" s="2209" t="s">
        <v>3171</v>
      </c>
      <c r="AX447" s="2209" t="s">
        <v>3213</v>
      </c>
      <c r="AY447" s="2211" t="s">
        <v>3285</v>
      </c>
    </row>
    <row r="448" spans="2:65" s="2216" customFormat="1">
      <c r="B448" s="2217"/>
      <c r="D448" s="2197" t="s">
        <v>3303</v>
      </c>
      <c r="E448" s="2218" t="s">
        <v>3146</v>
      </c>
      <c r="F448" s="2219" t="s">
        <v>3306</v>
      </c>
      <c r="H448" s="2220">
        <v>29.58</v>
      </c>
      <c r="L448" s="2217"/>
      <c r="M448" s="2221"/>
      <c r="T448" s="2222"/>
      <c r="AT448" s="2218" t="s">
        <v>3303</v>
      </c>
      <c r="AU448" s="2218" t="s">
        <v>134</v>
      </c>
      <c r="AV448" s="2216" t="s">
        <v>856</v>
      </c>
      <c r="AW448" s="2216" t="s">
        <v>3171</v>
      </c>
      <c r="AX448" s="2216" t="s">
        <v>133</v>
      </c>
      <c r="AY448" s="2218" t="s">
        <v>3285</v>
      </c>
    </row>
    <row r="449" spans="2:65" s="2178" customFormat="1" ht="22.9" customHeight="1">
      <c r="B449" s="2179"/>
      <c r="D449" s="2180" t="s">
        <v>3212</v>
      </c>
      <c r="E449" s="2188" t="s">
        <v>856</v>
      </c>
      <c r="F449" s="2188" t="s">
        <v>910</v>
      </c>
      <c r="J449" s="2189">
        <f>BK449</f>
        <v>0</v>
      </c>
      <c r="L449" s="2179"/>
      <c r="M449" s="2183"/>
      <c r="P449" s="2184">
        <f>SUM(P450:P531)</f>
        <v>10170.406823599998</v>
      </c>
      <c r="R449" s="2184">
        <f>SUM(R450:R531)</f>
        <v>2707.9735824460008</v>
      </c>
      <c r="T449" s="2185">
        <f>SUM(T450:T531)</f>
        <v>0</v>
      </c>
      <c r="AR449" s="2180" t="s">
        <v>133</v>
      </c>
      <c r="AT449" s="2186" t="s">
        <v>3212</v>
      </c>
      <c r="AU449" s="2186" t="s">
        <v>133</v>
      </c>
      <c r="AY449" s="2180" t="s">
        <v>3285</v>
      </c>
      <c r="BK449" s="2187">
        <f>SUM(BK450:BK531)</f>
        <v>0</v>
      </c>
    </row>
    <row r="450" spans="2:65" s="2070" customFormat="1" ht="16.5" customHeight="1">
      <c r="B450" s="2164"/>
      <c r="C450" s="4608">
        <v>70</v>
      </c>
      <c r="D450" s="4608" t="s">
        <v>3286</v>
      </c>
      <c r="E450" s="4609" t="s">
        <v>3572</v>
      </c>
      <c r="F450" s="4610" t="s">
        <v>3573</v>
      </c>
      <c r="G450" s="4611" t="s">
        <v>221</v>
      </c>
      <c r="H450" s="4612">
        <v>998.03300000000002</v>
      </c>
      <c r="I450" s="4613"/>
      <c r="J450" s="4613">
        <f>ROUND(I450*H450,2)</f>
        <v>0</v>
      </c>
      <c r="K450" s="4610" t="s">
        <v>142</v>
      </c>
      <c r="L450" s="2071"/>
      <c r="M450" s="2190" t="s">
        <v>3146</v>
      </c>
      <c r="N450" s="2163" t="s">
        <v>3181</v>
      </c>
      <c r="O450" s="2191">
        <v>1.224</v>
      </c>
      <c r="P450" s="2191">
        <f>O450*H450</f>
        <v>1221.592392</v>
      </c>
      <c r="Q450" s="2191">
        <v>2.5020099999999998</v>
      </c>
      <c r="R450" s="2191">
        <f>Q450*H450</f>
        <v>2497.0885463300001</v>
      </c>
      <c r="S450" s="2191">
        <v>0</v>
      </c>
      <c r="T450" s="2192">
        <f>S450*H450</f>
        <v>0</v>
      </c>
      <c r="AR450" s="2193" t="s">
        <v>856</v>
      </c>
      <c r="AT450" s="2193" t="s">
        <v>3286</v>
      </c>
      <c r="AU450" s="2193" t="s">
        <v>134</v>
      </c>
      <c r="AY450" s="2056" t="s">
        <v>3285</v>
      </c>
      <c r="BE450" s="2194">
        <f>IF(N450="základní",J450,0)</f>
        <v>0</v>
      </c>
      <c r="BF450" s="2194">
        <f>IF(N450="snížená",J450,0)</f>
        <v>0</v>
      </c>
      <c r="BG450" s="2194">
        <f>IF(N450="zákl. přenesená",J450,0)</f>
        <v>0</v>
      </c>
      <c r="BH450" s="2194">
        <f>IF(N450="sníž. přenesená",J450,0)</f>
        <v>0</v>
      </c>
      <c r="BI450" s="2194">
        <f>IF(N450="nulová",J450,0)</f>
        <v>0</v>
      </c>
      <c r="BJ450" s="2056" t="s">
        <v>134</v>
      </c>
      <c r="BK450" s="2194">
        <f>ROUND(I450*H450,2)</f>
        <v>0</v>
      </c>
      <c r="BL450" s="2056" t="s">
        <v>856</v>
      </c>
      <c r="BM450" s="2193" t="s">
        <v>3574</v>
      </c>
    </row>
    <row r="451" spans="2:65" s="2195" customFormat="1">
      <c r="B451" s="2196"/>
      <c r="D451" s="2197" t="s">
        <v>3303</v>
      </c>
      <c r="E451" s="2198" t="s">
        <v>3146</v>
      </c>
      <c r="F451" s="2199" t="s">
        <v>3517</v>
      </c>
      <c r="H451" s="2198" t="s">
        <v>3146</v>
      </c>
      <c r="L451" s="2196"/>
      <c r="M451" s="2200"/>
      <c r="T451" s="2201"/>
      <c r="AT451" s="2198" t="s">
        <v>3303</v>
      </c>
      <c r="AU451" s="2198" t="s">
        <v>134</v>
      </c>
      <c r="AV451" s="2195" t="s">
        <v>133</v>
      </c>
      <c r="AW451" s="2195" t="s">
        <v>3171</v>
      </c>
      <c r="AX451" s="2195" t="s">
        <v>3213</v>
      </c>
      <c r="AY451" s="2198" t="s">
        <v>3285</v>
      </c>
    </row>
    <row r="452" spans="2:65" s="2209" customFormat="1">
      <c r="B452" s="2210"/>
      <c r="D452" s="2197" t="s">
        <v>3303</v>
      </c>
      <c r="E452" s="2211" t="s">
        <v>3146</v>
      </c>
      <c r="F452" s="2212" t="s">
        <v>3575</v>
      </c>
      <c r="H452" s="2213">
        <v>262.20999999999998</v>
      </c>
      <c r="L452" s="2210"/>
      <c r="M452" s="2214"/>
      <c r="T452" s="2215"/>
      <c r="AT452" s="2211" t="s">
        <v>3303</v>
      </c>
      <c r="AU452" s="2211" t="s">
        <v>134</v>
      </c>
      <c r="AV452" s="2209" t="s">
        <v>134</v>
      </c>
      <c r="AW452" s="2209" t="s">
        <v>3171</v>
      </c>
      <c r="AX452" s="2209" t="s">
        <v>3213</v>
      </c>
      <c r="AY452" s="2211" t="s">
        <v>3285</v>
      </c>
    </row>
    <row r="453" spans="2:65" s="2195" customFormat="1">
      <c r="B453" s="2196"/>
      <c r="D453" s="2197" t="s">
        <v>3303</v>
      </c>
      <c r="E453" s="2198" t="s">
        <v>3146</v>
      </c>
      <c r="F453" s="2199" t="s">
        <v>3576</v>
      </c>
      <c r="H453" s="2198" t="s">
        <v>3146</v>
      </c>
      <c r="L453" s="2196"/>
      <c r="M453" s="2200"/>
      <c r="T453" s="2201"/>
      <c r="AT453" s="2198" t="s">
        <v>3303</v>
      </c>
      <c r="AU453" s="2198" t="s">
        <v>134</v>
      </c>
      <c r="AV453" s="2195" t="s">
        <v>133</v>
      </c>
      <c r="AW453" s="2195" t="s">
        <v>3171</v>
      </c>
      <c r="AX453" s="2195" t="s">
        <v>3213</v>
      </c>
      <c r="AY453" s="2198" t="s">
        <v>3285</v>
      </c>
    </row>
    <row r="454" spans="2:65" s="2209" customFormat="1">
      <c r="B454" s="2210"/>
      <c r="D454" s="2197" t="s">
        <v>3303</v>
      </c>
      <c r="E454" s="2211" t="s">
        <v>3146</v>
      </c>
      <c r="F454" s="2212" t="s">
        <v>3577</v>
      </c>
      <c r="H454" s="2213">
        <v>223.76599999999999</v>
      </c>
      <c r="L454" s="2210"/>
      <c r="M454" s="2214"/>
      <c r="T454" s="2215"/>
      <c r="AT454" s="2211" t="s">
        <v>3303</v>
      </c>
      <c r="AU454" s="2211" t="s">
        <v>134</v>
      </c>
      <c r="AV454" s="2209" t="s">
        <v>134</v>
      </c>
      <c r="AW454" s="2209" t="s">
        <v>3171</v>
      </c>
      <c r="AX454" s="2209" t="s">
        <v>3213</v>
      </c>
      <c r="AY454" s="2211" t="s">
        <v>3285</v>
      </c>
    </row>
    <row r="455" spans="2:65" s="2195" customFormat="1">
      <c r="B455" s="2196"/>
      <c r="D455" s="2197" t="s">
        <v>3303</v>
      </c>
      <c r="E455" s="2198" t="s">
        <v>3146</v>
      </c>
      <c r="F455" s="2199" t="s">
        <v>3578</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3579</v>
      </c>
      <c r="H456" s="2213">
        <v>256.16000000000003</v>
      </c>
      <c r="L456" s="2210"/>
      <c r="M456" s="2214"/>
      <c r="T456" s="2215"/>
      <c r="AT456" s="2211" t="s">
        <v>3303</v>
      </c>
      <c r="AU456" s="2211" t="s">
        <v>134</v>
      </c>
      <c r="AV456" s="2209" t="s">
        <v>134</v>
      </c>
      <c r="AW456" s="2209" t="s">
        <v>3171</v>
      </c>
      <c r="AX456" s="2209" t="s">
        <v>3213</v>
      </c>
      <c r="AY456" s="2211" t="s">
        <v>3285</v>
      </c>
    </row>
    <row r="457" spans="2:65" s="2195" customFormat="1">
      <c r="B457" s="2196"/>
      <c r="D457" s="2197" t="s">
        <v>3303</v>
      </c>
      <c r="E457" s="2198" t="s">
        <v>3146</v>
      </c>
      <c r="F457" s="2199" t="s">
        <v>3580</v>
      </c>
      <c r="H457" s="2198" t="s">
        <v>3146</v>
      </c>
      <c r="L457" s="2196"/>
      <c r="M457" s="2200"/>
      <c r="T457" s="2201"/>
      <c r="AT457" s="2198" t="s">
        <v>3303</v>
      </c>
      <c r="AU457" s="2198" t="s">
        <v>134</v>
      </c>
      <c r="AV457" s="2195" t="s">
        <v>133</v>
      </c>
      <c r="AW457" s="2195" t="s">
        <v>3171</v>
      </c>
      <c r="AX457" s="2195" t="s">
        <v>3213</v>
      </c>
      <c r="AY457" s="2198" t="s">
        <v>3285</v>
      </c>
    </row>
    <row r="458" spans="2:65" s="2209" customFormat="1">
      <c r="B458" s="2210"/>
      <c r="D458" s="2197" t="s">
        <v>3303</v>
      </c>
      <c r="E458" s="2211" t="s">
        <v>3146</v>
      </c>
      <c r="F458" s="2212" t="s">
        <v>3581</v>
      </c>
      <c r="H458" s="2213">
        <v>255.89699999999999</v>
      </c>
      <c r="L458" s="2210"/>
      <c r="M458" s="2214"/>
      <c r="T458" s="2215"/>
      <c r="AT458" s="2211" t="s">
        <v>3303</v>
      </c>
      <c r="AU458" s="2211" t="s">
        <v>134</v>
      </c>
      <c r="AV458" s="2209" t="s">
        <v>134</v>
      </c>
      <c r="AW458" s="2209" t="s">
        <v>3171</v>
      </c>
      <c r="AX458" s="2209" t="s">
        <v>3213</v>
      </c>
      <c r="AY458" s="2211" t="s">
        <v>3285</v>
      </c>
    </row>
    <row r="459" spans="2:65" s="2216" customFormat="1">
      <c r="B459" s="2217"/>
      <c r="D459" s="2197" t="s">
        <v>3303</v>
      </c>
      <c r="E459" s="2218" t="s">
        <v>3146</v>
      </c>
      <c r="F459" s="2219" t="s">
        <v>3306</v>
      </c>
      <c r="H459" s="2220">
        <v>998.03300000000002</v>
      </c>
      <c r="L459" s="2217"/>
      <c r="M459" s="2221"/>
      <c r="T459" s="2222"/>
      <c r="AT459" s="2218" t="s">
        <v>3303</v>
      </c>
      <c r="AU459" s="2218" t="s">
        <v>134</v>
      </c>
      <c r="AV459" s="2216" t="s">
        <v>856</v>
      </c>
      <c r="AW459" s="2216" t="s">
        <v>3171</v>
      </c>
      <c r="AX459" s="2216" t="s">
        <v>133</v>
      </c>
      <c r="AY459" s="2218" t="s">
        <v>3285</v>
      </c>
    </row>
    <row r="460" spans="2:65" s="2070" customFormat="1" ht="24.2" customHeight="1">
      <c r="B460" s="2164"/>
      <c r="C460" s="4608">
        <v>71</v>
      </c>
      <c r="D460" s="4608" t="s">
        <v>3286</v>
      </c>
      <c r="E460" s="4609" t="s">
        <v>3583</v>
      </c>
      <c r="F460" s="4610" t="s">
        <v>3584</v>
      </c>
      <c r="G460" s="4611" t="s">
        <v>611</v>
      </c>
      <c r="H460" s="4612">
        <v>3992.1289999999999</v>
      </c>
      <c r="I460" s="4613"/>
      <c r="J460" s="4613">
        <f>ROUND(I460*H460,2)</f>
        <v>0</v>
      </c>
      <c r="K460" s="4610" t="s">
        <v>142</v>
      </c>
      <c r="L460" s="2071"/>
      <c r="M460" s="2190" t="s">
        <v>3146</v>
      </c>
      <c r="N460" s="2163" t="s">
        <v>3181</v>
      </c>
      <c r="O460" s="2191">
        <v>0.377</v>
      </c>
      <c r="P460" s="2191">
        <f>O460*H460</f>
        <v>1505.032633</v>
      </c>
      <c r="Q460" s="2191">
        <v>5.3299999999999997E-3</v>
      </c>
      <c r="R460" s="2191">
        <f>Q460*H460</f>
        <v>21.278047569999998</v>
      </c>
      <c r="S460" s="2191">
        <v>0</v>
      </c>
      <c r="T460" s="2192">
        <f>S460*H460</f>
        <v>0</v>
      </c>
      <c r="AR460" s="2193" t="s">
        <v>856</v>
      </c>
      <c r="AT460" s="2193" t="s">
        <v>3286</v>
      </c>
      <c r="AU460" s="2193" t="s">
        <v>134</v>
      </c>
      <c r="AY460" s="2056" t="s">
        <v>3285</v>
      </c>
      <c r="BE460" s="2194">
        <f>IF(N460="základní",J460,0)</f>
        <v>0</v>
      </c>
      <c r="BF460" s="2194">
        <f>IF(N460="snížená",J460,0)</f>
        <v>0</v>
      </c>
      <c r="BG460" s="2194">
        <f>IF(N460="zákl. přenesená",J460,0)</f>
        <v>0</v>
      </c>
      <c r="BH460" s="2194">
        <f>IF(N460="sníž. přenesená",J460,0)</f>
        <v>0</v>
      </c>
      <c r="BI460" s="2194">
        <f>IF(N460="nulová",J460,0)</f>
        <v>0</v>
      </c>
      <c r="BJ460" s="2056" t="s">
        <v>134</v>
      </c>
      <c r="BK460" s="2194">
        <f>ROUND(I460*H460,2)</f>
        <v>0</v>
      </c>
      <c r="BL460" s="2056" t="s">
        <v>856</v>
      </c>
      <c r="BM460" s="2193" t="s">
        <v>3585</v>
      </c>
    </row>
    <row r="461" spans="2:65" s="2195" customFormat="1">
      <c r="B461" s="2196"/>
      <c r="D461" s="2197" t="s">
        <v>3303</v>
      </c>
      <c r="E461" s="2198" t="s">
        <v>3146</v>
      </c>
      <c r="F461" s="2199" t="s">
        <v>3517</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D462" s="2197" t="s">
        <v>3303</v>
      </c>
      <c r="E462" s="2211" t="s">
        <v>3146</v>
      </c>
      <c r="F462" s="2212" t="s">
        <v>3586</v>
      </c>
      <c r="H462" s="2213">
        <v>1048.8389999999999</v>
      </c>
      <c r="L462" s="2210"/>
      <c r="M462" s="2214"/>
      <c r="T462" s="2215"/>
      <c r="AT462" s="2211" t="s">
        <v>3303</v>
      </c>
      <c r="AU462" s="2211" t="s">
        <v>134</v>
      </c>
      <c r="AV462" s="2209" t="s">
        <v>134</v>
      </c>
      <c r="AW462" s="2209" t="s">
        <v>3171</v>
      </c>
      <c r="AX462" s="2209" t="s">
        <v>3213</v>
      </c>
      <c r="AY462" s="2211" t="s">
        <v>3285</v>
      </c>
    </row>
    <row r="463" spans="2:65" s="2195" customFormat="1">
      <c r="B463" s="2196"/>
      <c r="D463" s="2197" t="s">
        <v>3303</v>
      </c>
      <c r="E463" s="2198" t="s">
        <v>3146</v>
      </c>
      <c r="F463" s="2199" t="s">
        <v>3576</v>
      </c>
      <c r="H463" s="2198" t="s">
        <v>3146</v>
      </c>
      <c r="L463" s="2196"/>
      <c r="M463" s="2200"/>
      <c r="T463" s="2201"/>
      <c r="AT463" s="2198" t="s">
        <v>3303</v>
      </c>
      <c r="AU463" s="2198" t="s">
        <v>134</v>
      </c>
      <c r="AV463" s="2195" t="s">
        <v>133</v>
      </c>
      <c r="AW463" s="2195" t="s">
        <v>3171</v>
      </c>
      <c r="AX463" s="2195" t="s">
        <v>3213</v>
      </c>
      <c r="AY463" s="2198" t="s">
        <v>3285</v>
      </c>
    </row>
    <row r="464" spans="2:65" s="2209" customFormat="1">
      <c r="B464" s="2210"/>
      <c r="D464" s="2197" t="s">
        <v>3303</v>
      </c>
      <c r="E464" s="2211" t="s">
        <v>3146</v>
      </c>
      <c r="F464" s="2212" t="s">
        <v>3587</v>
      </c>
      <c r="H464" s="2213">
        <v>895.06399999999996</v>
      </c>
      <c r="L464" s="2210"/>
      <c r="M464" s="2214"/>
      <c r="T464" s="2215"/>
      <c r="AT464" s="2211" t="s">
        <v>3303</v>
      </c>
      <c r="AU464" s="2211" t="s">
        <v>134</v>
      </c>
      <c r="AV464" s="2209" t="s">
        <v>134</v>
      </c>
      <c r="AW464" s="2209" t="s">
        <v>3171</v>
      </c>
      <c r="AX464" s="2209" t="s">
        <v>3213</v>
      </c>
      <c r="AY464" s="2211" t="s">
        <v>3285</v>
      </c>
    </row>
    <row r="465" spans="2:65" s="2195" customFormat="1">
      <c r="B465" s="2196"/>
      <c r="D465" s="2197" t="s">
        <v>3303</v>
      </c>
      <c r="E465" s="2198" t="s">
        <v>3146</v>
      </c>
      <c r="F465" s="2199" t="s">
        <v>3578</v>
      </c>
      <c r="H465" s="2198" t="s">
        <v>3146</v>
      </c>
      <c r="L465" s="2196"/>
      <c r="M465" s="2200"/>
      <c r="T465" s="2201"/>
      <c r="AT465" s="2198" t="s">
        <v>3303</v>
      </c>
      <c r="AU465" s="2198" t="s">
        <v>134</v>
      </c>
      <c r="AV465" s="2195" t="s">
        <v>133</v>
      </c>
      <c r="AW465" s="2195" t="s">
        <v>3171</v>
      </c>
      <c r="AX465" s="2195" t="s">
        <v>3213</v>
      </c>
      <c r="AY465" s="2198" t="s">
        <v>3285</v>
      </c>
    </row>
    <row r="466" spans="2:65" s="2209" customFormat="1">
      <c r="B466" s="2210"/>
      <c r="D466" s="2197" t="s">
        <v>3303</v>
      </c>
      <c r="E466" s="2211" t="s">
        <v>3146</v>
      </c>
      <c r="F466" s="2212" t="s">
        <v>3588</v>
      </c>
      <c r="H466" s="2213">
        <v>1024.6379999999999</v>
      </c>
      <c r="L466" s="2210"/>
      <c r="M466" s="2214"/>
      <c r="T466" s="2215"/>
      <c r="AT466" s="2211" t="s">
        <v>3303</v>
      </c>
      <c r="AU466" s="2211" t="s">
        <v>134</v>
      </c>
      <c r="AV466" s="2209" t="s">
        <v>134</v>
      </c>
      <c r="AW466" s="2209" t="s">
        <v>3171</v>
      </c>
      <c r="AX466" s="2209" t="s">
        <v>3213</v>
      </c>
      <c r="AY466" s="2211" t="s">
        <v>3285</v>
      </c>
    </row>
    <row r="467" spans="2:65" s="2195" customFormat="1">
      <c r="B467" s="2196"/>
      <c r="D467" s="2197" t="s">
        <v>3303</v>
      </c>
      <c r="E467" s="2198" t="s">
        <v>3146</v>
      </c>
      <c r="F467" s="2199" t="s">
        <v>3580</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D468" s="2197" t="s">
        <v>3303</v>
      </c>
      <c r="E468" s="2211" t="s">
        <v>3146</v>
      </c>
      <c r="F468" s="2212" t="s">
        <v>3589</v>
      </c>
      <c r="H468" s="2213">
        <v>1023.588</v>
      </c>
      <c r="L468" s="2210"/>
      <c r="M468" s="2214"/>
      <c r="T468" s="2215"/>
      <c r="AT468" s="2211" t="s">
        <v>3303</v>
      </c>
      <c r="AU468" s="2211" t="s">
        <v>134</v>
      </c>
      <c r="AV468" s="2209" t="s">
        <v>134</v>
      </c>
      <c r="AW468" s="2209" t="s">
        <v>3171</v>
      </c>
      <c r="AX468" s="2209" t="s">
        <v>3213</v>
      </c>
      <c r="AY468" s="2211" t="s">
        <v>3285</v>
      </c>
    </row>
    <row r="469" spans="2:65" s="2216" customFormat="1">
      <c r="B469" s="2217"/>
      <c r="D469" s="2197" t="s">
        <v>3303</v>
      </c>
      <c r="E469" s="2218" t="s">
        <v>3146</v>
      </c>
      <c r="F469" s="2219" t="s">
        <v>3306</v>
      </c>
      <c r="H469" s="2220">
        <v>3992.1289999999999</v>
      </c>
      <c r="L469" s="2217"/>
      <c r="M469" s="2221"/>
      <c r="T469" s="2222"/>
      <c r="AT469" s="2218" t="s">
        <v>3303</v>
      </c>
      <c r="AU469" s="2218" t="s">
        <v>134</v>
      </c>
      <c r="AV469" s="2216" t="s">
        <v>856</v>
      </c>
      <c r="AW469" s="2216" t="s">
        <v>3171</v>
      </c>
      <c r="AX469" s="2216" t="s">
        <v>133</v>
      </c>
      <c r="AY469" s="2218" t="s">
        <v>3285</v>
      </c>
    </row>
    <row r="470" spans="2:65" s="2070" customFormat="1" ht="24.2" customHeight="1">
      <c r="B470" s="2164"/>
      <c r="C470" s="4608">
        <v>72</v>
      </c>
      <c r="D470" s="4608" t="s">
        <v>3286</v>
      </c>
      <c r="E470" s="4609" t="s">
        <v>3591</v>
      </c>
      <c r="F470" s="4610" t="s">
        <v>3592</v>
      </c>
      <c r="G470" s="4611" t="s">
        <v>611</v>
      </c>
      <c r="H470" s="4612">
        <v>3992.1289999999999</v>
      </c>
      <c r="I470" s="4613"/>
      <c r="J470" s="4613">
        <f>ROUND(I470*H470,2)</f>
        <v>0</v>
      </c>
      <c r="K470" s="4610" t="s">
        <v>142</v>
      </c>
      <c r="L470" s="2071"/>
      <c r="M470" s="2190" t="s">
        <v>3146</v>
      </c>
      <c r="N470" s="2163" t="s">
        <v>3181</v>
      </c>
      <c r="O470" s="2191">
        <v>0.22500000000000001</v>
      </c>
      <c r="P470" s="2191">
        <f>O470*H470</f>
        <v>898.22902499999998</v>
      </c>
      <c r="Q470" s="2191">
        <v>0</v>
      </c>
      <c r="R470" s="2191">
        <f>Q470*H470</f>
        <v>0</v>
      </c>
      <c r="S470" s="2191">
        <v>0</v>
      </c>
      <c r="T470" s="2192">
        <f>S470*H470</f>
        <v>0</v>
      </c>
      <c r="AR470" s="2193" t="s">
        <v>856</v>
      </c>
      <c r="AT470" s="2193" t="s">
        <v>3286</v>
      </c>
      <c r="AU470" s="2193" t="s">
        <v>134</v>
      </c>
      <c r="AY470" s="2056" t="s">
        <v>3285</v>
      </c>
      <c r="BE470" s="2194">
        <f>IF(N470="základní",J470,0)</f>
        <v>0</v>
      </c>
      <c r="BF470" s="2194">
        <f>IF(N470="snížená",J470,0)</f>
        <v>0</v>
      </c>
      <c r="BG470" s="2194">
        <f>IF(N470="zákl. přenesená",J470,0)</f>
        <v>0</v>
      </c>
      <c r="BH470" s="2194">
        <f>IF(N470="sníž. přenesená",J470,0)</f>
        <v>0</v>
      </c>
      <c r="BI470" s="2194">
        <f>IF(N470="nulová",J470,0)</f>
        <v>0</v>
      </c>
      <c r="BJ470" s="2056" t="s">
        <v>134</v>
      </c>
      <c r="BK470" s="2194">
        <f>ROUND(I470*H470,2)</f>
        <v>0</v>
      </c>
      <c r="BL470" s="2056" t="s">
        <v>856</v>
      </c>
      <c r="BM470" s="2193" t="s">
        <v>3593</v>
      </c>
    </row>
    <row r="471" spans="2:65" s="2070" customFormat="1" ht="24.2" customHeight="1">
      <c r="B471" s="2164"/>
      <c r="C471" s="4608">
        <v>73</v>
      </c>
      <c r="D471" s="4608" t="s">
        <v>3286</v>
      </c>
      <c r="E471" s="4609" t="s">
        <v>3595</v>
      </c>
      <c r="F471" s="4610" t="s">
        <v>3596</v>
      </c>
      <c r="G471" s="4611" t="s">
        <v>611</v>
      </c>
      <c r="H471" s="4612">
        <v>3992.1289999999999</v>
      </c>
      <c r="I471" s="4613"/>
      <c r="J471" s="4613">
        <f>ROUND(I471*H471,2)</f>
        <v>0</v>
      </c>
      <c r="K471" s="4610" t="s">
        <v>142</v>
      </c>
      <c r="L471" s="2071"/>
      <c r="M471" s="2190" t="s">
        <v>3146</v>
      </c>
      <c r="N471" s="2163" t="s">
        <v>3181</v>
      </c>
      <c r="O471" s="2191">
        <v>0.23100000000000001</v>
      </c>
      <c r="P471" s="2191">
        <f>O471*H471</f>
        <v>922.18179900000007</v>
      </c>
      <c r="Q471" s="2191">
        <v>1E-3</v>
      </c>
      <c r="R471" s="2191">
        <f>Q471*H471</f>
        <v>3.9921289999999998</v>
      </c>
      <c r="S471" s="2191">
        <v>0</v>
      </c>
      <c r="T471" s="2192">
        <f>S471*H471</f>
        <v>0</v>
      </c>
      <c r="AR471" s="2193" t="s">
        <v>856</v>
      </c>
      <c r="AT471" s="2193" t="s">
        <v>3286</v>
      </c>
      <c r="AU471" s="2193" t="s">
        <v>134</v>
      </c>
      <c r="AY471" s="2056" t="s">
        <v>3285</v>
      </c>
      <c r="BE471" s="2194">
        <f>IF(N471="základní",J471,0)</f>
        <v>0</v>
      </c>
      <c r="BF471" s="2194">
        <f>IF(N471="snížená",J471,0)</f>
        <v>0</v>
      </c>
      <c r="BG471" s="2194">
        <f>IF(N471="zákl. přenesená",J471,0)</f>
        <v>0</v>
      </c>
      <c r="BH471" s="2194">
        <f>IF(N471="sníž. přenesená",J471,0)</f>
        <v>0</v>
      </c>
      <c r="BI471" s="2194">
        <f>IF(N471="nulová",J471,0)</f>
        <v>0</v>
      </c>
      <c r="BJ471" s="2056" t="s">
        <v>134</v>
      </c>
      <c r="BK471" s="2194">
        <f>ROUND(I471*H471,2)</f>
        <v>0</v>
      </c>
      <c r="BL471" s="2056" t="s">
        <v>856</v>
      </c>
      <c r="BM471" s="2193" t="s">
        <v>3597</v>
      </c>
    </row>
    <row r="472" spans="2:65" s="2070" customFormat="1" ht="24.2" customHeight="1">
      <c r="B472" s="2164"/>
      <c r="C472" s="4608">
        <v>74</v>
      </c>
      <c r="D472" s="4608" t="s">
        <v>3286</v>
      </c>
      <c r="E472" s="4609" t="s">
        <v>3599</v>
      </c>
      <c r="F472" s="4610" t="s">
        <v>3600</v>
      </c>
      <c r="G472" s="4611" t="s">
        <v>611</v>
      </c>
      <c r="H472" s="4612">
        <v>3992.1289999999999</v>
      </c>
      <c r="I472" s="4613"/>
      <c r="J472" s="4613">
        <f>ROUND(I472*H472,2)</f>
        <v>0</v>
      </c>
      <c r="K472" s="4610" t="s">
        <v>142</v>
      </c>
      <c r="L472" s="2071"/>
      <c r="M472" s="2190" t="s">
        <v>3146</v>
      </c>
      <c r="N472" s="2163" t="s">
        <v>3181</v>
      </c>
      <c r="O472" s="2191">
        <v>0.13600000000000001</v>
      </c>
      <c r="P472" s="2191">
        <f>O472*H472</f>
        <v>542.92954400000008</v>
      </c>
      <c r="Q472" s="2191">
        <v>0</v>
      </c>
      <c r="R472" s="2191">
        <f>Q472*H472</f>
        <v>0</v>
      </c>
      <c r="S472" s="2191">
        <v>0</v>
      </c>
      <c r="T472" s="2192">
        <f>S472*H472</f>
        <v>0</v>
      </c>
      <c r="AR472" s="2193" t="s">
        <v>856</v>
      </c>
      <c r="AT472" s="2193" t="s">
        <v>3286</v>
      </c>
      <c r="AU472" s="2193" t="s">
        <v>134</v>
      </c>
      <c r="AY472" s="2056" t="s">
        <v>3285</v>
      </c>
      <c r="BE472" s="2194">
        <f>IF(N472="základní",J472,0)</f>
        <v>0</v>
      </c>
      <c r="BF472" s="2194">
        <f>IF(N472="snížená",J472,0)</f>
        <v>0</v>
      </c>
      <c r="BG472" s="2194">
        <f>IF(N472="zákl. přenesená",J472,0)</f>
        <v>0</v>
      </c>
      <c r="BH472" s="2194">
        <f>IF(N472="sníž. přenesená",J472,0)</f>
        <v>0</v>
      </c>
      <c r="BI472" s="2194">
        <f>IF(N472="nulová",J472,0)</f>
        <v>0</v>
      </c>
      <c r="BJ472" s="2056" t="s">
        <v>134</v>
      </c>
      <c r="BK472" s="2194">
        <f>ROUND(I472*H472,2)</f>
        <v>0</v>
      </c>
      <c r="BL472" s="2056" t="s">
        <v>856</v>
      </c>
      <c r="BM472" s="2193" t="s">
        <v>3601</v>
      </c>
    </row>
    <row r="473" spans="2:65" s="2070" customFormat="1" ht="24.2" customHeight="1">
      <c r="B473" s="2164"/>
      <c r="C473" s="4608">
        <v>75</v>
      </c>
      <c r="D473" s="4608" t="s">
        <v>3286</v>
      </c>
      <c r="E473" s="4609" t="s">
        <v>3603</v>
      </c>
      <c r="F473" s="4610" t="s">
        <v>3604</v>
      </c>
      <c r="G473" s="4611" t="s">
        <v>611</v>
      </c>
      <c r="H473" s="4612">
        <v>185.10599999999999</v>
      </c>
      <c r="I473" s="4613"/>
      <c r="J473" s="4613">
        <f>ROUND(I473*H473,2)</f>
        <v>0</v>
      </c>
      <c r="K473" s="4610" t="s">
        <v>142</v>
      </c>
      <c r="L473" s="2071"/>
      <c r="M473" s="2190" t="s">
        <v>3146</v>
      </c>
      <c r="N473" s="2163" t="s">
        <v>3181</v>
      </c>
      <c r="O473" s="2191">
        <v>1.468</v>
      </c>
      <c r="P473" s="2191">
        <f>O473*H473</f>
        <v>271.73560800000001</v>
      </c>
      <c r="Q473" s="2191">
        <v>1.409E-2</v>
      </c>
      <c r="R473" s="2191">
        <f>Q473*H473</f>
        <v>2.6081435399999999</v>
      </c>
      <c r="S473" s="2191">
        <v>0</v>
      </c>
      <c r="T473" s="2192">
        <f>S473*H473</f>
        <v>0</v>
      </c>
      <c r="AR473" s="2193" t="s">
        <v>856</v>
      </c>
      <c r="AT473" s="2193" t="s">
        <v>3286</v>
      </c>
      <c r="AU473" s="2193" t="s">
        <v>134</v>
      </c>
      <c r="AY473" s="2056" t="s">
        <v>3285</v>
      </c>
      <c r="BE473" s="2194">
        <f>IF(N473="základní",J473,0)</f>
        <v>0</v>
      </c>
      <c r="BF473" s="2194">
        <f>IF(N473="snížená",J473,0)</f>
        <v>0</v>
      </c>
      <c r="BG473" s="2194">
        <f>IF(N473="zákl. přenesená",J473,0)</f>
        <v>0</v>
      </c>
      <c r="BH473" s="2194">
        <f>IF(N473="sníž. přenesená",J473,0)</f>
        <v>0</v>
      </c>
      <c r="BI473" s="2194">
        <f>IF(N473="nulová",J473,0)</f>
        <v>0</v>
      </c>
      <c r="BJ473" s="2056" t="s">
        <v>134</v>
      </c>
      <c r="BK473" s="2194">
        <f>ROUND(I473*H473,2)</f>
        <v>0</v>
      </c>
      <c r="BL473" s="2056" t="s">
        <v>856</v>
      </c>
      <c r="BM473" s="2193" t="s">
        <v>3605</v>
      </c>
    </row>
    <row r="474" spans="2:65" s="2209" customFormat="1">
      <c r="B474" s="2210"/>
      <c r="D474" s="2197" t="s">
        <v>3303</v>
      </c>
      <c r="E474" s="2211" t="s">
        <v>3146</v>
      </c>
      <c r="F474" s="2212" t="s">
        <v>3606</v>
      </c>
      <c r="H474" s="2213">
        <v>12.5</v>
      </c>
      <c r="L474" s="2210"/>
      <c r="M474" s="2214"/>
      <c r="T474" s="2215"/>
      <c r="AT474" s="2211" t="s">
        <v>3303</v>
      </c>
      <c r="AU474" s="2211" t="s">
        <v>134</v>
      </c>
      <c r="AV474" s="2209" t="s">
        <v>134</v>
      </c>
      <c r="AW474" s="2209" t="s">
        <v>3171</v>
      </c>
      <c r="AX474" s="2209" t="s">
        <v>3213</v>
      </c>
      <c r="AY474" s="2211" t="s">
        <v>3285</v>
      </c>
    </row>
    <row r="475" spans="2:65" s="2209" customFormat="1">
      <c r="B475" s="2210"/>
      <c r="D475" s="2197" t="s">
        <v>3303</v>
      </c>
      <c r="E475" s="2211" t="s">
        <v>3146</v>
      </c>
      <c r="F475" s="2212" t="s">
        <v>3607</v>
      </c>
      <c r="H475" s="2213">
        <v>13.14</v>
      </c>
      <c r="L475" s="2210"/>
      <c r="M475" s="2214"/>
      <c r="T475" s="2215"/>
      <c r="AT475" s="2211" t="s">
        <v>3303</v>
      </c>
      <c r="AU475" s="2211" t="s">
        <v>134</v>
      </c>
      <c r="AV475" s="2209" t="s">
        <v>134</v>
      </c>
      <c r="AW475" s="2209" t="s">
        <v>3171</v>
      </c>
      <c r="AX475" s="2209" t="s">
        <v>3213</v>
      </c>
      <c r="AY475" s="2211" t="s">
        <v>3285</v>
      </c>
    </row>
    <row r="476" spans="2:65" s="2209" customFormat="1">
      <c r="B476" s="2210"/>
      <c r="D476" s="2197" t="s">
        <v>3303</v>
      </c>
      <c r="E476" s="2211" t="s">
        <v>3146</v>
      </c>
      <c r="F476" s="2212" t="s">
        <v>3608</v>
      </c>
      <c r="H476" s="2213">
        <v>23.76</v>
      </c>
      <c r="L476" s="2210"/>
      <c r="M476" s="2214"/>
      <c r="T476" s="2215"/>
      <c r="AT476" s="2211" t="s">
        <v>3303</v>
      </c>
      <c r="AU476" s="2211" t="s">
        <v>134</v>
      </c>
      <c r="AV476" s="2209" t="s">
        <v>134</v>
      </c>
      <c r="AW476" s="2209" t="s">
        <v>3171</v>
      </c>
      <c r="AX476" s="2209" t="s">
        <v>3213</v>
      </c>
      <c r="AY476" s="2211" t="s">
        <v>3285</v>
      </c>
    </row>
    <row r="477" spans="2:65" s="2209" customFormat="1">
      <c r="B477" s="2210"/>
      <c r="D477" s="2197" t="s">
        <v>3303</v>
      </c>
      <c r="E477" s="2211" t="s">
        <v>3146</v>
      </c>
      <c r="F477" s="2212" t="s">
        <v>3609</v>
      </c>
      <c r="H477" s="2213">
        <v>6.7949999999999999</v>
      </c>
      <c r="L477" s="2210"/>
      <c r="M477" s="2214"/>
      <c r="T477" s="2215"/>
      <c r="AT477" s="2211" t="s">
        <v>3303</v>
      </c>
      <c r="AU477" s="2211" t="s">
        <v>134</v>
      </c>
      <c r="AV477" s="2209" t="s">
        <v>134</v>
      </c>
      <c r="AW477" s="2209" t="s">
        <v>3171</v>
      </c>
      <c r="AX477" s="2209" t="s">
        <v>3213</v>
      </c>
      <c r="AY477" s="2211" t="s">
        <v>3285</v>
      </c>
    </row>
    <row r="478" spans="2:65" s="2209" customFormat="1">
      <c r="B478" s="2210"/>
      <c r="D478" s="2197" t="s">
        <v>3303</v>
      </c>
      <c r="E478" s="2211" t="s">
        <v>3146</v>
      </c>
      <c r="F478" s="2212" t="s">
        <v>3610</v>
      </c>
      <c r="H478" s="2213">
        <v>5.923</v>
      </c>
      <c r="L478" s="2210"/>
      <c r="M478" s="2214"/>
      <c r="T478" s="2215"/>
      <c r="AT478" s="2211" t="s">
        <v>3303</v>
      </c>
      <c r="AU478" s="2211" t="s">
        <v>134</v>
      </c>
      <c r="AV478" s="2209" t="s">
        <v>134</v>
      </c>
      <c r="AW478" s="2209" t="s">
        <v>3171</v>
      </c>
      <c r="AX478" s="2209" t="s">
        <v>3213</v>
      </c>
      <c r="AY478" s="2211" t="s">
        <v>3285</v>
      </c>
    </row>
    <row r="479" spans="2:65" s="2209" customFormat="1">
      <c r="B479" s="2210"/>
      <c r="D479" s="2197" t="s">
        <v>3303</v>
      </c>
      <c r="E479" s="2211" t="s">
        <v>3146</v>
      </c>
      <c r="F479" s="2212" t="s">
        <v>3611</v>
      </c>
      <c r="H479" s="2213">
        <v>47.52</v>
      </c>
      <c r="L479" s="2210"/>
      <c r="M479" s="2214"/>
      <c r="T479" s="2215"/>
      <c r="AT479" s="2211" t="s">
        <v>3303</v>
      </c>
      <c r="AU479" s="2211" t="s">
        <v>134</v>
      </c>
      <c r="AV479" s="2209" t="s">
        <v>134</v>
      </c>
      <c r="AW479" s="2209" t="s">
        <v>3171</v>
      </c>
      <c r="AX479" s="2209" t="s">
        <v>3213</v>
      </c>
      <c r="AY479" s="2211" t="s">
        <v>3285</v>
      </c>
    </row>
    <row r="480" spans="2:65" s="2209" customFormat="1">
      <c r="B480" s="2210"/>
      <c r="D480" s="2197" t="s">
        <v>3303</v>
      </c>
      <c r="E480" s="2211" t="s">
        <v>3146</v>
      </c>
      <c r="F480" s="2212" t="s">
        <v>3612</v>
      </c>
      <c r="H480" s="2213">
        <v>34.880000000000003</v>
      </c>
      <c r="L480" s="2210"/>
      <c r="M480" s="2214"/>
      <c r="T480" s="2215"/>
      <c r="AT480" s="2211" t="s">
        <v>3303</v>
      </c>
      <c r="AU480" s="2211" t="s">
        <v>134</v>
      </c>
      <c r="AV480" s="2209" t="s">
        <v>134</v>
      </c>
      <c r="AW480" s="2209" t="s">
        <v>3171</v>
      </c>
      <c r="AX480" s="2209" t="s">
        <v>3213</v>
      </c>
      <c r="AY480" s="2211" t="s">
        <v>3285</v>
      </c>
    </row>
    <row r="481" spans="2:65" s="2209" customFormat="1">
      <c r="B481" s="2210"/>
      <c r="D481" s="2197" t="s">
        <v>3303</v>
      </c>
      <c r="E481" s="2211" t="s">
        <v>3146</v>
      </c>
      <c r="F481" s="2212" t="s">
        <v>3608</v>
      </c>
      <c r="H481" s="2213">
        <v>23.76</v>
      </c>
      <c r="L481" s="2210"/>
      <c r="M481" s="2214"/>
      <c r="T481" s="2215"/>
      <c r="AT481" s="2211" t="s">
        <v>3303</v>
      </c>
      <c r="AU481" s="2211" t="s">
        <v>134</v>
      </c>
      <c r="AV481" s="2209" t="s">
        <v>134</v>
      </c>
      <c r="AW481" s="2209" t="s">
        <v>3171</v>
      </c>
      <c r="AX481" s="2209" t="s">
        <v>3213</v>
      </c>
      <c r="AY481" s="2211" t="s">
        <v>3285</v>
      </c>
    </row>
    <row r="482" spans="2:65" s="2216" customFormat="1">
      <c r="B482" s="2217"/>
      <c r="D482" s="2197" t="s">
        <v>3303</v>
      </c>
      <c r="E482" s="2218" t="s">
        <v>3146</v>
      </c>
      <c r="F482" s="2219" t="s">
        <v>3306</v>
      </c>
      <c r="H482" s="2220">
        <v>168.27799999999999</v>
      </c>
      <c r="L482" s="2217"/>
      <c r="M482" s="2221"/>
      <c r="T482" s="2222"/>
      <c r="AT482" s="2218" t="s">
        <v>3303</v>
      </c>
      <c r="AU482" s="2218" t="s">
        <v>134</v>
      </c>
      <c r="AV482" s="2216" t="s">
        <v>856</v>
      </c>
      <c r="AW482" s="2216" t="s">
        <v>3171</v>
      </c>
      <c r="AX482" s="2216" t="s">
        <v>133</v>
      </c>
      <c r="AY482" s="2218" t="s">
        <v>3285</v>
      </c>
    </row>
    <row r="483" spans="2:65" s="2209" customFormat="1">
      <c r="B483" s="2210"/>
      <c r="D483" s="2197" t="s">
        <v>3303</v>
      </c>
      <c r="F483" s="2212" t="s">
        <v>10741</v>
      </c>
      <c r="H483" s="2213">
        <v>185.10599999999999</v>
      </c>
      <c r="L483" s="2210"/>
      <c r="M483" s="2214"/>
      <c r="T483" s="2215"/>
      <c r="AT483" s="2211" t="s">
        <v>3303</v>
      </c>
      <c r="AU483" s="2211" t="s">
        <v>134</v>
      </c>
      <c r="AV483" s="2209" t="s">
        <v>134</v>
      </c>
      <c r="AW483" s="2209" t="s">
        <v>3148</v>
      </c>
      <c r="AX483" s="2209" t="s">
        <v>133</v>
      </c>
      <c r="AY483" s="2211" t="s">
        <v>3285</v>
      </c>
    </row>
    <row r="484" spans="2:65" s="2070" customFormat="1" ht="33" customHeight="1">
      <c r="B484" s="2164"/>
      <c r="C484" s="4608">
        <v>76</v>
      </c>
      <c r="D484" s="4608" t="s">
        <v>3286</v>
      </c>
      <c r="E484" s="4609" t="s">
        <v>3614</v>
      </c>
      <c r="F484" s="4610" t="s">
        <v>3615</v>
      </c>
      <c r="G484" s="4611" t="s">
        <v>611</v>
      </c>
      <c r="H484" s="4612">
        <v>185.10599999999999</v>
      </c>
      <c r="I484" s="4613"/>
      <c r="J484" s="4613">
        <f>ROUND(I484*H484,2)</f>
        <v>0</v>
      </c>
      <c r="K484" s="4610" t="s">
        <v>142</v>
      </c>
      <c r="L484" s="2071"/>
      <c r="M484" s="2190" t="s">
        <v>3146</v>
      </c>
      <c r="N484" s="2163" t="s">
        <v>3181</v>
      </c>
      <c r="O484" s="2191">
        <v>0.35499999999999998</v>
      </c>
      <c r="P484" s="2191">
        <f>O484*H484</f>
        <v>65.71262999999999</v>
      </c>
      <c r="Q484" s="2191">
        <v>0</v>
      </c>
      <c r="R484" s="2191">
        <f>Q484*H484</f>
        <v>0</v>
      </c>
      <c r="S484" s="2191">
        <v>0</v>
      </c>
      <c r="T484" s="2192">
        <f>S484*H484</f>
        <v>0</v>
      </c>
      <c r="AR484" s="2193" t="s">
        <v>856</v>
      </c>
      <c r="AT484" s="2193" t="s">
        <v>3286</v>
      </c>
      <c r="AU484" s="2193" t="s">
        <v>134</v>
      </c>
      <c r="AY484" s="2056" t="s">
        <v>3285</v>
      </c>
      <c r="BE484" s="2194">
        <f>IF(N484="základní",J484,0)</f>
        <v>0</v>
      </c>
      <c r="BF484" s="2194">
        <f>IF(N484="snížená",J484,0)</f>
        <v>0</v>
      </c>
      <c r="BG484" s="2194">
        <f>IF(N484="zákl. přenesená",J484,0)</f>
        <v>0</v>
      </c>
      <c r="BH484" s="2194">
        <f>IF(N484="sníž. přenesená",J484,0)</f>
        <v>0</v>
      </c>
      <c r="BI484" s="2194">
        <f>IF(N484="nulová",J484,0)</f>
        <v>0</v>
      </c>
      <c r="BJ484" s="2056" t="s">
        <v>134</v>
      </c>
      <c r="BK484" s="2194">
        <f>ROUND(I484*H484,2)</f>
        <v>0</v>
      </c>
      <c r="BL484" s="2056" t="s">
        <v>856</v>
      </c>
      <c r="BM484" s="2193" t="s">
        <v>3616</v>
      </c>
    </row>
    <row r="485" spans="2:65" s="2070" customFormat="1" ht="24.2" customHeight="1">
      <c r="B485" s="2164"/>
      <c r="C485" s="4608">
        <v>77</v>
      </c>
      <c r="D485" s="4608" t="s">
        <v>3286</v>
      </c>
      <c r="E485" s="4609" t="s">
        <v>3618</v>
      </c>
      <c r="F485" s="4610" t="s">
        <v>3619</v>
      </c>
      <c r="G485" s="4611" t="s">
        <v>611</v>
      </c>
      <c r="H485" s="4612">
        <v>34.880000000000003</v>
      </c>
      <c r="I485" s="4613"/>
      <c r="J485" s="4613">
        <f>ROUND(I485*H485,2)</f>
        <v>0</v>
      </c>
      <c r="K485" s="4610" t="s">
        <v>142</v>
      </c>
      <c r="L485" s="2071"/>
      <c r="M485" s="2190" t="s">
        <v>3146</v>
      </c>
      <c r="N485" s="2163" t="s">
        <v>3181</v>
      </c>
      <c r="O485" s="2191">
        <v>0.122</v>
      </c>
      <c r="P485" s="2191">
        <f>O485*H485</f>
        <v>4.2553600000000005</v>
      </c>
      <c r="Q485" s="2191">
        <v>3.0599999999999998E-3</v>
      </c>
      <c r="R485" s="2191">
        <f>Q485*H485</f>
        <v>0.1067328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3620</v>
      </c>
    </row>
    <row r="486" spans="2:65" s="2209" customFormat="1">
      <c r="B486" s="2210"/>
      <c r="D486" s="2197" t="s">
        <v>3303</v>
      </c>
      <c r="E486" s="2211" t="s">
        <v>3146</v>
      </c>
      <c r="F486" s="2212" t="s">
        <v>3612</v>
      </c>
      <c r="H486" s="2213">
        <v>34.880000000000003</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34.880000000000003</v>
      </c>
      <c r="L487" s="2217"/>
      <c r="M487" s="2221"/>
      <c r="T487" s="2222"/>
      <c r="AT487" s="2218" t="s">
        <v>3303</v>
      </c>
      <c r="AU487" s="2218" t="s">
        <v>134</v>
      </c>
      <c r="AV487" s="2216" t="s">
        <v>856</v>
      </c>
      <c r="AW487" s="2216" t="s">
        <v>3171</v>
      </c>
      <c r="AX487" s="2216" t="s">
        <v>133</v>
      </c>
      <c r="AY487" s="2218" t="s">
        <v>3285</v>
      </c>
    </row>
    <row r="488" spans="2:65" s="2070" customFormat="1" ht="24.2" customHeight="1">
      <c r="B488" s="2164"/>
      <c r="C488" s="4608">
        <v>78</v>
      </c>
      <c r="D488" s="4608" t="s">
        <v>3286</v>
      </c>
      <c r="E488" s="4609" t="s">
        <v>3622</v>
      </c>
      <c r="F488" s="4610" t="s">
        <v>3623</v>
      </c>
      <c r="G488" s="4611" t="s">
        <v>611</v>
      </c>
      <c r="H488" s="4612">
        <v>34.880000000000003</v>
      </c>
      <c r="I488" s="4613"/>
      <c r="J488" s="4613">
        <f>ROUND(I488*H488,2)</f>
        <v>0</v>
      </c>
      <c r="K488" s="4610" t="s">
        <v>142</v>
      </c>
      <c r="L488" s="2071"/>
      <c r="M488" s="2190" t="s">
        <v>3146</v>
      </c>
      <c r="N488" s="2163" t="s">
        <v>3181</v>
      </c>
      <c r="O488" s="2191">
        <v>4.2000000000000003E-2</v>
      </c>
      <c r="P488" s="2191">
        <f>O488*H488</f>
        <v>1.4649600000000003</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3624</v>
      </c>
    </row>
    <row r="489" spans="2:65" s="2070" customFormat="1" ht="16.5" customHeight="1">
      <c r="B489" s="2164"/>
      <c r="C489" s="4608">
        <v>79</v>
      </c>
      <c r="D489" s="4608" t="s">
        <v>3286</v>
      </c>
      <c r="E489" s="4609" t="s">
        <v>3626</v>
      </c>
      <c r="F489" s="4610" t="s">
        <v>3627</v>
      </c>
      <c r="G489" s="4611" t="s">
        <v>302</v>
      </c>
      <c r="H489" s="4612">
        <v>159.685</v>
      </c>
      <c r="I489" s="4613"/>
      <c r="J489" s="4613">
        <f>ROUND(I489*H489,2)</f>
        <v>0</v>
      </c>
      <c r="K489" s="4610" t="s">
        <v>142</v>
      </c>
      <c r="L489" s="2071"/>
      <c r="M489" s="2190" t="s">
        <v>3146</v>
      </c>
      <c r="N489" s="2163" t="s">
        <v>3181</v>
      </c>
      <c r="O489" s="2191">
        <v>27.83</v>
      </c>
      <c r="P489" s="2191">
        <f>O489*H489</f>
        <v>4444.0335500000001</v>
      </c>
      <c r="Q489" s="2191">
        <v>1.05555</v>
      </c>
      <c r="R489" s="2191">
        <f>Q489*H489</f>
        <v>168.55550174999999</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3628</v>
      </c>
    </row>
    <row r="490" spans="2:65" s="2209" customFormat="1">
      <c r="B490" s="2210"/>
      <c r="D490" s="2197" t="s">
        <v>3303</v>
      </c>
      <c r="E490" s="2211" t="s">
        <v>3146</v>
      </c>
      <c r="F490" s="2212" t="s">
        <v>3629</v>
      </c>
      <c r="H490" s="2213">
        <v>159.685</v>
      </c>
      <c r="L490" s="2210"/>
      <c r="M490" s="2214"/>
      <c r="T490" s="2215"/>
      <c r="AT490" s="2211" t="s">
        <v>3303</v>
      </c>
      <c r="AU490" s="2211" t="s">
        <v>134</v>
      </c>
      <c r="AV490" s="2209" t="s">
        <v>134</v>
      </c>
      <c r="AW490" s="2209" t="s">
        <v>3171</v>
      </c>
      <c r="AX490" s="2209" t="s">
        <v>3213</v>
      </c>
      <c r="AY490" s="2211" t="s">
        <v>3285</v>
      </c>
    </row>
    <row r="491" spans="2:65" s="2216" customFormat="1">
      <c r="B491" s="2217"/>
      <c r="D491" s="2197" t="s">
        <v>3303</v>
      </c>
      <c r="E491" s="2218" t="s">
        <v>3146</v>
      </c>
      <c r="F491" s="2219" t="s">
        <v>3306</v>
      </c>
      <c r="H491" s="2220">
        <v>159.685</v>
      </c>
      <c r="L491" s="2217"/>
      <c r="M491" s="2221"/>
      <c r="T491" s="2222"/>
      <c r="AT491" s="2218" t="s">
        <v>3303</v>
      </c>
      <c r="AU491" s="2218" t="s">
        <v>134</v>
      </c>
      <c r="AV491" s="2216" t="s">
        <v>856</v>
      </c>
      <c r="AW491" s="2216" t="s">
        <v>3171</v>
      </c>
      <c r="AX491" s="2216" t="s">
        <v>133</v>
      </c>
      <c r="AY491" s="2218" t="s">
        <v>3285</v>
      </c>
    </row>
    <row r="492" spans="2:65" s="2070" customFormat="1" ht="16.5" customHeight="1">
      <c r="B492" s="2164"/>
      <c r="C492" s="4608">
        <v>80</v>
      </c>
      <c r="D492" s="4608" t="s">
        <v>3286</v>
      </c>
      <c r="E492" s="4609" t="s">
        <v>3631</v>
      </c>
      <c r="F492" s="4610" t="s">
        <v>3632</v>
      </c>
      <c r="G492" s="4611" t="s">
        <v>611</v>
      </c>
      <c r="H492" s="4612">
        <v>213.46299999999999</v>
      </c>
      <c r="I492" s="4613"/>
      <c r="J492" s="4613">
        <f>ROUND(I492*H492,2)</f>
        <v>0</v>
      </c>
      <c r="K492" s="4610" t="s">
        <v>142</v>
      </c>
      <c r="L492" s="2071"/>
      <c r="M492" s="2190" t="s">
        <v>3146</v>
      </c>
      <c r="N492" s="2163" t="s">
        <v>3181</v>
      </c>
      <c r="O492" s="2191">
        <v>0.755</v>
      </c>
      <c r="P492" s="2191">
        <f>O492*H492</f>
        <v>161.16456500000001</v>
      </c>
      <c r="Q492" s="2191">
        <v>5.7600000000000004E-3</v>
      </c>
      <c r="R492" s="2191">
        <f>Q492*H492</f>
        <v>1.22954688</v>
      </c>
      <c r="S492" s="2191">
        <v>0</v>
      </c>
      <c r="T492" s="2192">
        <f>S492*H492</f>
        <v>0</v>
      </c>
      <c r="AR492" s="2193" t="s">
        <v>856</v>
      </c>
      <c r="AT492" s="2193" t="s">
        <v>3286</v>
      </c>
      <c r="AU492" s="2193" t="s">
        <v>134</v>
      </c>
      <c r="AY492" s="2056" t="s">
        <v>3285</v>
      </c>
      <c r="BE492" s="2194">
        <f>IF(N492="základní",J492,0)</f>
        <v>0</v>
      </c>
      <c r="BF492" s="2194">
        <f>IF(N492="snížená",J492,0)</f>
        <v>0</v>
      </c>
      <c r="BG492" s="2194">
        <f>IF(N492="zákl. přenesená",J492,0)</f>
        <v>0</v>
      </c>
      <c r="BH492" s="2194">
        <f>IF(N492="sníž. přenesená",J492,0)</f>
        <v>0</v>
      </c>
      <c r="BI492" s="2194">
        <f>IF(N492="nulová",J492,0)</f>
        <v>0</v>
      </c>
      <c r="BJ492" s="2056" t="s">
        <v>134</v>
      </c>
      <c r="BK492" s="2194">
        <f>ROUND(I492*H492,2)</f>
        <v>0</v>
      </c>
      <c r="BL492" s="2056" t="s">
        <v>856</v>
      </c>
      <c r="BM492" s="2193" t="s">
        <v>3633</v>
      </c>
    </row>
    <row r="493" spans="2:65" s="2209" customFormat="1">
      <c r="B493" s="2210"/>
      <c r="D493" s="2197" t="s">
        <v>3303</v>
      </c>
      <c r="E493" s="2211" t="s">
        <v>3146</v>
      </c>
      <c r="F493" s="2212" t="s">
        <v>3634</v>
      </c>
      <c r="H493" s="2213">
        <v>213.46299999999999</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213.46299999999999</v>
      </c>
      <c r="L494" s="2217"/>
      <c r="M494" s="2221"/>
      <c r="T494" s="2222"/>
      <c r="AT494" s="2218" t="s">
        <v>3303</v>
      </c>
      <c r="AU494" s="2218" t="s">
        <v>134</v>
      </c>
      <c r="AV494" s="2216" t="s">
        <v>856</v>
      </c>
      <c r="AW494" s="2216" t="s">
        <v>3171</v>
      </c>
      <c r="AX494" s="2216" t="s">
        <v>133</v>
      </c>
      <c r="AY494" s="2218" t="s">
        <v>3285</v>
      </c>
    </row>
    <row r="495" spans="2:65" s="2070" customFormat="1" ht="16.5" customHeight="1">
      <c r="B495" s="2164"/>
      <c r="C495" s="4608">
        <v>81</v>
      </c>
      <c r="D495" s="4608" t="s">
        <v>3286</v>
      </c>
      <c r="E495" s="4609" t="s">
        <v>3635</v>
      </c>
      <c r="F495" s="4610" t="s">
        <v>3636</v>
      </c>
      <c r="G495" s="4611" t="s">
        <v>611</v>
      </c>
      <c r="H495" s="4612">
        <v>213.46299999999999</v>
      </c>
      <c r="I495" s="4613"/>
      <c r="J495" s="4613">
        <f>ROUND(I495*H495,2)</f>
        <v>0</v>
      </c>
      <c r="K495" s="4610" t="s">
        <v>142</v>
      </c>
      <c r="L495" s="2071"/>
      <c r="M495" s="2190" t="s">
        <v>3146</v>
      </c>
      <c r="N495" s="2163" t="s">
        <v>3181</v>
      </c>
      <c r="O495" s="2191">
        <v>0.26</v>
      </c>
      <c r="P495" s="2191">
        <f>O495*H495</f>
        <v>55.50038</v>
      </c>
      <c r="Q495" s="2191">
        <v>0</v>
      </c>
      <c r="R495" s="2191">
        <f>Q495*H495</f>
        <v>0</v>
      </c>
      <c r="S495" s="2191">
        <v>0</v>
      </c>
      <c r="T495" s="2192">
        <f>S495*H495</f>
        <v>0</v>
      </c>
      <c r="AR495" s="2193" t="s">
        <v>856</v>
      </c>
      <c r="AT495" s="2193" t="s">
        <v>3286</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f>ROUND(I495*H495,2)</f>
        <v>0</v>
      </c>
      <c r="BL495" s="2056" t="s">
        <v>856</v>
      </c>
      <c r="BM495" s="2193" t="s">
        <v>3637</v>
      </c>
    </row>
    <row r="496" spans="2:65" s="2070" customFormat="1" ht="21.75" customHeight="1">
      <c r="B496" s="2164"/>
      <c r="C496" s="5561">
        <v>82</v>
      </c>
      <c r="D496" s="4608" t="s">
        <v>3286</v>
      </c>
      <c r="E496" s="4609" t="s">
        <v>10742</v>
      </c>
      <c r="F496" s="4610" t="s">
        <v>10743</v>
      </c>
      <c r="G496" s="4611" t="s">
        <v>221</v>
      </c>
      <c r="H496" s="5568">
        <f>H502</f>
        <v>4.8650000000000002</v>
      </c>
      <c r="I496" s="4613"/>
      <c r="J496" s="4613">
        <f>ROUND(I496*H496,2)</f>
        <v>0</v>
      </c>
      <c r="K496" s="4610" t="s">
        <v>142</v>
      </c>
      <c r="L496" s="2071"/>
      <c r="M496" s="2190" t="s">
        <v>3146</v>
      </c>
      <c r="N496" s="2163" t="s">
        <v>3181</v>
      </c>
      <c r="O496" s="2191">
        <v>2.5129999999999999</v>
      </c>
      <c r="P496" s="2191">
        <f>O496*H496</f>
        <v>12.225745</v>
      </c>
      <c r="Q496" s="2191">
        <v>2.5019499999999999</v>
      </c>
      <c r="R496" s="2191">
        <f>Q496*H496</f>
        <v>12.17198675</v>
      </c>
      <c r="S496" s="2191">
        <v>0</v>
      </c>
      <c r="T496" s="2192">
        <f>S496*H496</f>
        <v>0</v>
      </c>
      <c r="AR496" s="2193" t="s">
        <v>856</v>
      </c>
      <c r="AT496" s="2193" t="s">
        <v>3286</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856</v>
      </c>
      <c r="BM496" s="2193" t="s">
        <v>10744</v>
      </c>
    </row>
    <row r="497" spans="2:65" s="2195" customFormat="1">
      <c r="B497" s="2196"/>
      <c r="D497" s="2197" t="s">
        <v>3303</v>
      </c>
      <c r="E497" s="2198" t="s">
        <v>3146</v>
      </c>
      <c r="F497" s="2199" t="s">
        <v>10745</v>
      </c>
      <c r="H497" s="2198" t="s">
        <v>3146</v>
      </c>
      <c r="L497" s="2196"/>
      <c r="M497" s="2200"/>
      <c r="T497" s="2201"/>
      <c r="AT497" s="2198" t="s">
        <v>3303</v>
      </c>
      <c r="AU497" s="2198" t="s">
        <v>134</v>
      </c>
      <c r="AV497" s="2195" t="s">
        <v>133</v>
      </c>
      <c r="AW497" s="2195" t="s">
        <v>3171</v>
      </c>
      <c r="AX497" s="2195" t="s">
        <v>3213</v>
      </c>
      <c r="AY497" s="2198" t="s">
        <v>3285</v>
      </c>
    </row>
    <row r="498" spans="2:65" s="2195" customFormat="1">
      <c r="B498" s="2196"/>
      <c r="D498" s="2197" t="s">
        <v>3303</v>
      </c>
      <c r="E498" s="2198" t="s">
        <v>3146</v>
      </c>
      <c r="F498" s="2199" t="s">
        <v>10746</v>
      </c>
      <c r="H498" s="2198" t="s">
        <v>3146</v>
      </c>
      <c r="L498" s="2196"/>
      <c r="M498" s="2200"/>
      <c r="T498" s="2201"/>
      <c r="AT498" s="2198" t="s">
        <v>3303</v>
      </c>
      <c r="AU498" s="2198" t="s">
        <v>134</v>
      </c>
      <c r="AV498" s="2195" t="s">
        <v>133</v>
      </c>
      <c r="AW498" s="2195" t="s">
        <v>3171</v>
      </c>
      <c r="AX498" s="2195" t="s">
        <v>3213</v>
      </c>
      <c r="AY498" s="2198" t="s">
        <v>3285</v>
      </c>
    </row>
    <row r="499" spans="2:65" s="2209" customFormat="1" ht="22.5">
      <c r="B499" s="2210"/>
      <c r="D499" s="2197" t="s">
        <v>3303</v>
      </c>
      <c r="E499" s="2211" t="s">
        <v>3146</v>
      </c>
      <c r="F499" s="2212" t="s">
        <v>10747</v>
      </c>
      <c r="H499" s="2213">
        <v>0.94099999999999995</v>
      </c>
      <c r="L499" s="2210"/>
      <c r="M499" s="2214"/>
      <c r="T499" s="2215"/>
      <c r="AT499" s="2211" t="s">
        <v>3303</v>
      </c>
      <c r="AU499" s="2211" t="s">
        <v>134</v>
      </c>
      <c r="AV499" s="2209" t="s">
        <v>134</v>
      </c>
      <c r="AW499" s="2209" t="s">
        <v>3171</v>
      </c>
      <c r="AX499" s="2209" t="s">
        <v>3213</v>
      </c>
      <c r="AY499" s="2211" t="s">
        <v>3285</v>
      </c>
    </row>
    <row r="500" spans="2:65" s="2209" customFormat="1" ht="22.5">
      <c r="B500" s="2210"/>
      <c r="D500" s="2197" t="s">
        <v>3303</v>
      </c>
      <c r="E500" s="2211" t="s">
        <v>3146</v>
      </c>
      <c r="F500" s="2212" t="s">
        <v>10748</v>
      </c>
      <c r="H500" s="2213">
        <v>1.962</v>
      </c>
      <c r="L500" s="2210"/>
      <c r="M500" s="2214"/>
      <c r="T500" s="2215"/>
      <c r="AT500" s="2211" t="s">
        <v>3303</v>
      </c>
      <c r="AU500" s="2211" t="s">
        <v>134</v>
      </c>
      <c r="AV500" s="2209" t="s">
        <v>134</v>
      </c>
      <c r="AW500" s="2209" t="s">
        <v>3171</v>
      </c>
      <c r="AX500" s="2209" t="s">
        <v>3213</v>
      </c>
      <c r="AY500" s="2211" t="s">
        <v>3285</v>
      </c>
    </row>
    <row r="501" spans="2:65" s="2209" customFormat="1" ht="22.5">
      <c r="B501" s="2210"/>
      <c r="D501" s="2197" t="s">
        <v>3303</v>
      </c>
      <c r="E501" s="2211" t="s">
        <v>3146</v>
      </c>
      <c r="F501" s="2212" t="s">
        <v>10749</v>
      </c>
      <c r="H501" s="2213">
        <v>1.962</v>
      </c>
      <c r="L501" s="2210"/>
      <c r="M501" s="2214"/>
      <c r="T501" s="2215"/>
      <c r="AT501" s="2211" t="s">
        <v>3303</v>
      </c>
      <c r="AU501" s="2211" t="s">
        <v>134</v>
      </c>
      <c r="AV501" s="2209" t="s">
        <v>134</v>
      </c>
      <c r="AW501" s="2209" t="s">
        <v>3171</v>
      </c>
      <c r="AX501" s="2209" t="s">
        <v>3213</v>
      </c>
      <c r="AY501" s="2211" t="s">
        <v>3285</v>
      </c>
    </row>
    <row r="502" spans="2:65" s="2216" customFormat="1">
      <c r="B502" s="2217"/>
      <c r="D502" s="2197" t="s">
        <v>3303</v>
      </c>
      <c r="E502" s="2218" t="s">
        <v>3146</v>
      </c>
      <c r="F502" s="2219" t="s">
        <v>3306</v>
      </c>
      <c r="H502" s="2220">
        <f>SUM(H499:H501)</f>
        <v>4.8650000000000002</v>
      </c>
      <c r="L502" s="2217"/>
      <c r="M502" s="2221"/>
      <c r="T502" s="2222"/>
      <c r="AT502" s="2218" t="s">
        <v>3303</v>
      </c>
      <c r="AU502" s="2218" t="s">
        <v>134</v>
      </c>
      <c r="AV502" s="2216" t="s">
        <v>856</v>
      </c>
      <c r="AW502" s="2216" t="s">
        <v>3171</v>
      </c>
      <c r="AX502" s="2216" t="s">
        <v>133</v>
      </c>
      <c r="AY502" s="2218" t="s">
        <v>3285</v>
      </c>
    </row>
    <row r="503" spans="2:65" s="2070" customFormat="1" ht="24.2" customHeight="1">
      <c r="B503" s="2164"/>
      <c r="C503" s="5561">
        <v>83</v>
      </c>
      <c r="D503" s="4608" t="s">
        <v>3286</v>
      </c>
      <c r="E503" s="4609" t="s">
        <v>10751</v>
      </c>
      <c r="F503" s="4610" t="s">
        <v>10752</v>
      </c>
      <c r="G503" s="4611" t="s">
        <v>302</v>
      </c>
      <c r="H503" s="5568">
        <f>H504</f>
        <v>0.5838000000000001</v>
      </c>
      <c r="I503" s="4613"/>
      <c r="J503" s="4613">
        <f>ROUND(I503*H503,2)</f>
        <v>0</v>
      </c>
      <c r="K503" s="4610" t="s">
        <v>142</v>
      </c>
      <c r="L503" s="2071"/>
      <c r="M503" s="2190" t="s">
        <v>3146</v>
      </c>
      <c r="N503" s="2163" t="s">
        <v>3181</v>
      </c>
      <c r="O503" s="2191">
        <v>36.877000000000002</v>
      </c>
      <c r="P503" s="2191">
        <f>O503*H503</f>
        <v>21.528792600000006</v>
      </c>
      <c r="Q503" s="2191">
        <v>1.0492699999999999</v>
      </c>
      <c r="R503" s="2191">
        <f>Q503*H503</f>
        <v>0.61256382600000003</v>
      </c>
      <c r="S503" s="2191">
        <v>0</v>
      </c>
      <c r="T503" s="2192">
        <f>S503*H503</f>
        <v>0</v>
      </c>
      <c r="AR503" s="2193" t="s">
        <v>856</v>
      </c>
      <c r="AT503" s="2193" t="s">
        <v>3286</v>
      </c>
      <c r="AU503" s="2193" t="s">
        <v>134</v>
      </c>
      <c r="AY503" s="2056" t="s">
        <v>3285</v>
      </c>
      <c r="BE503" s="2194">
        <f>IF(N503="základní",J503,0)</f>
        <v>0</v>
      </c>
      <c r="BF503" s="2194">
        <f>IF(N503="snížená",J503,0)</f>
        <v>0</v>
      </c>
      <c r="BG503" s="2194">
        <f>IF(N503="zákl. přenesená",J503,0)</f>
        <v>0</v>
      </c>
      <c r="BH503" s="2194">
        <f>IF(N503="sníž. přenesená",J503,0)</f>
        <v>0</v>
      </c>
      <c r="BI503" s="2194">
        <f>IF(N503="nulová",J503,0)</f>
        <v>0</v>
      </c>
      <c r="BJ503" s="2056" t="s">
        <v>134</v>
      </c>
      <c r="BK503" s="2194">
        <f>ROUND(I503*H503,2)</f>
        <v>0</v>
      </c>
      <c r="BL503" s="2056" t="s">
        <v>856</v>
      </c>
      <c r="BM503" s="2193" t="s">
        <v>10753</v>
      </c>
    </row>
    <row r="504" spans="2:65" s="2209" customFormat="1">
      <c r="B504" s="2210"/>
      <c r="D504" s="2197" t="s">
        <v>3303</v>
      </c>
      <c r="E504" s="2211" t="s">
        <v>3146</v>
      </c>
      <c r="F504" s="5560" t="s">
        <v>11733</v>
      </c>
      <c r="G504" s="5574"/>
      <c r="H504" s="5569">
        <f>4.865*120*0.001</f>
        <v>0.5838000000000001</v>
      </c>
      <c r="L504" s="2210"/>
      <c r="M504" s="2214"/>
      <c r="T504" s="2215"/>
      <c r="AT504" s="2211" t="s">
        <v>3303</v>
      </c>
      <c r="AU504" s="2211" t="s">
        <v>134</v>
      </c>
      <c r="AV504" s="2209" t="s">
        <v>134</v>
      </c>
      <c r="AW504" s="2209" t="s">
        <v>3171</v>
      </c>
      <c r="AX504" s="2209" t="s">
        <v>133</v>
      </c>
      <c r="AY504" s="2211" t="s">
        <v>3285</v>
      </c>
    </row>
    <row r="505" spans="2:65" s="2070" customFormat="1" ht="24.2" customHeight="1">
      <c r="B505" s="2164"/>
      <c r="C505" s="5561">
        <v>84</v>
      </c>
      <c r="D505" s="4608" t="s">
        <v>3286</v>
      </c>
      <c r="E505" s="4609" t="s">
        <v>10754</v>
      </c>
      <c r="F505" s="4610" t="s">
        <v>10755</v>
      </c>
      <c r="G505" s="4611" t="s">
        <v>611</v>
      </c>
      <c r="H505" s="5568">
        <f>H516</f>
        <v>25.279999999999998</v>
      </c>
      <c r="I505" s="4613"/>
      <c r="J505" s="4613">
        <f>ROUND(I505*H505,2)</f>
        <v>0</v>
      </c>
      <c r="K505" s="4610" t="s">
        <v>142</v>
      </c>
      <c r="L505" s="2071"/>
      <c r="M505" s="2190" t="s">
        <v>3146</v>
      </c>
      <c r="N505" s="2163" t="s">
        <v>3181</v>
      </c>
      <c r="O505" s="2191">
        <v>1.3420000000000001</v>
      </c>
      <c r="P505" s="2191">
        <f>O505*H505</f>
        <v>33.925759999999997</v>
      </c>
      <c r="Q505" s="2191">
        <v>1.282E-2</v>
      </c>
      <c r="R505" s="2191">
        <f>Q505*H505</f>
        <v>0.32408959999999998</v>
      </c>
      <c r="S505" s="2191">
        <v>0</v>
      </c>
      <c r="T505" s="2192">
        <f>S505*H505</f>
        <v>0</v>
      </c>
      <c r="AR505" s="2193" t="s">
        <v>856</v>
      </c>
      <c r="AT505" s="2193" t="s">
        <v>3286</v>
      </c>
      <c r="AU505" s="2193" t="s">
        <v>134</v>
      </c>
      <c r="AY505" s="2056" t="s">
        <v>3285</v>
      </c>
      <c r="BE505" s="2194">
        <f>IF(N505="základní",J505,0)</f>
        <v>0</v>
      </c>
      <c r="BF505" s="2194">
        <f>IF(N505="snížená",J505,0)</f>
        <v>0</v>
      </c>
      <c r="BG505" s="2194">
        <f>IF(N505="zákl. přenesená",J505,0)</f>
        <v>0</v>
      </c>
      <c r="BH505" s="2194">
        <f>IF(N505="sníž. přenesená",J505,0)</f>
        <v>0</v>
      </c>
      <c r="BI505" s="2194">
        <f>IF(N505="nulová",J505,0)</f>
        <v>0</v>
      </c>
      <c r="BJ505" s="2056" t="s">
        <v>134</v>
      </c>
      <c r="BK505" s="2194">
        <f>ROUND(I505*H505,2)</f>
        <v>0</v>
      </c>
      <c r="BL505" s="2056" t="s">
        <v>856</v>
      </c>
      <c r="BM505" s="2193" t="s">
        <v>10756</v>
      </c>
    </row>
    <row r="506" spans="2:65" s="2195" customFormat="1">
      <c r="B506" s="2196"/>
      <c r="D506" s="2197" t="s">
        <v>3303</v>
      </c>
      <c r="E506" s="2198" t="s">
        <v>3146</v>
      </c>
      <c r="F506" s="2199" t="s">
        <v>10746</v>
      </c>
      <c r="H506" s="2198" t="s">
        <v>3146</v>
      </c>
      <c r="L506" s="2196"/>
      <c r="M506" s="2200"/>
      <c r="T506" s="2201"/>
      <c r="AT506" s="2198" t="s">
        <v>3303</v>
      </c>
      <c r="AU506" s="2198" t="s">
        <v>134</v>
      </c>
      <c r="AV506" s="2195" t="s">
        <v>133</v>
      </c>
      <c r="AW506" s="2195" t="s">
        <v>3171</v>
      </c>
      <c r="AX506" s="2195" t="s">
        <v>3213</v>
      </c>
      <c r="AY506" s="2198" t="s">
        <v>3285</v>
      </c>
    </row>
    <row r="507" spans="2:65" s="2195" customFormat="1">
      <c r="B507" s="2196"/>
      <c r="D507" s="2197" t="s">
        <v>3303</v>
      </c>
      <c r="E507" s="2198" t="s">
        <v>3146</v>
      </c>
      <c r="F507" s="2199" t="s">
        <v>10757</v>
      </c>
      <c r="H507" s="2198" t="s">
        <v>3146</v>
      </c>
      <c r="L507" s="2196"/>
      <c r="M507" s="2200"/>
      <c r="T507" s="2201"/>
      <c r="AT507" s="2198" t="s">
        <v>3303</v>
      </c>
      <c r="AU507" s="2198" t="s">
        <v>134</v>
      </c>
      <c r="AV507" s="2195" t="s">
        <v>133</v>
      </c>
      <c r="AW507" s="2195" t="s">
        <v>3171</v>
      </c>
      <c r="AX507" s="2195" t="s">
        <v>3213</v>
      </c>
      <c r="AY507" s="2198" t="s">
        <v>3285</v>
      </c>
    </row>
    <row r="508" spans="2:65" s="2209" customFormat="1">
      <c r="B508" s="2210"/>
      <c r="D508" s="2197" t="s">
        <v>3303</v>
      </c>
      <c r="E508" s="2211" t="s">
        <v>3146</v>
      </c>
      <c r="F508" s="2212" t="s">
        <v>10758</v>
      </c>
      <c r="H508" s="2213">
        <v>2.4</v>
      </c>
      <c r="L508" s="2210"/>
      <c r="M508" s="2214"/>
      <c r="T508" s="2215"/>
      <c r="AT508" s="2211" t="s">
        <v>3303</v>
      </c>
      <c r="AU508" s="2211" t="s">
        <v>134</v>
      </c>
      <c r="AV508" s="2209" t="s">
        <v>134</v>
      </c>
      <c r="AW508" s="2209" t="s">
        <v>3171</v>
      </c>
      <c r="AX508" s="2209" t="s">
        <v>3213</v>
      </c>
      <c r="AY508" s="2211" t="s">
        <v>3285</v>
      </c>
    </row>
    <row r="509" spans="2:65" s="2209" customFormat="1">
      <c r="B509" s="2210"/>
      <c r="D509" s="2197" t="s">
        <v>3303</v>
      </c>
      <c r="E509" s="2211" t="s">
        <v>3146</v>
      </c>
      <c r="F509" s="2212" t="s">
        <v>10759</v>
      </c>
      <c r="H509" s="2213">
        <v>3.36</v>
      </c>
      <c r="L509" s="2210"/>
      <c r="M509" s="2214"/>
      <c r="T509" s="2215"/>
      <c r="AT509" s="2211" t="s">
        <v>3303</v>
      </c>
      <c r="AU509" s="2211" t="s">
        <v>134</v>
      </c>
      <c r="AV509" s="2209" t="s">
        <v>134</v>
      </c>
      <c r="AW509" s="2209" t="s">
        <v>3171</v>
      </c>
      <c r="AX509" s="2209" t="s">
        <v>3213</v>
      </c>
      <c r="AY509" s="2211" t="s">
        <v>3285</v>
      </c>
    </row>
    <row r="510" spans="2:65" s="2209" customFormat="1">
      <c r="B510" s="2210"/>
      <c r="D510" s="2197" t="s">
        <v>3303</v>
      </c>
      <c r="E510" s="2211" t="s">
        <v>3146</v>
      </c>
      <c r="F510" s="2212" t="s">
        <v>10760</v>
      </c>
      <c r="H510" s="2213">
        <v>3.36</v>
      </c>
      <c r="L510" s="2210"/>
      <c r="M510" s="2214"/>
      <c r="T510" s="2215"/>
      <c r="AT510" s="2211" t="s">
        <v>3303</v>
      </c>
      <c r="AU510" s="2211" t="s">
        <v>134</v>
      </c>
      <c r="AV510" s="2209" t="s">
        <v>134</v>
      </c>
      <c r="AW510" s="2209" t="s">
        <v>3171</v>
      </c>
      <c r="AX510" s="2209" t="s">
        <v>3213</v>
      </c>
      <c r="AY510" s="2211" t="s">
        <v>3285</v>
      </c>
    </row>
    <row r="511" spans="2:65" s="2195" customFormat="1">
      <c r="B511" s="2196"/>
      <c r="D511" s="2197" t="s">
        <v>3303</v>
      </c>
      <c r="E511" s="2198" t="s">
        <v>3146</v>
      </c>
      <c r="F511" s="2199" t="s">
        <v>10761</v>
      </c>
      <c r="H511" s="2198" t="s">
        <v>3146</v>
      </c>
      <c r="L511" s="2196"/>
      <c r="M511" s="2200"/>
      <c r="T511" s="2201"/>
      <c r="AT511" s="2198" t="s">
        <v>3303</v>
      </c>
      <c r="AU511" s="2198" t="s">
        <v>134</v>
      </c>
      <c r="AV511" s="2195" t="s">
        <v>133</v>
      </c>
      <c r="AW511" s="2195" t="s">
        <v>3171</v>
      </c>
      <c r="AX511" s="2195" t="s">
        <v>3213</v>
      </c>
      <c r="AY511" s="2198" t="s">
        <v>3285</v>
      </c>
    </row>
    <row r="512" spans="2:65" s="2209" customFormat="1">
      <c r="B512" s="2210"/>
      <c r="D512" s="2197" t="s">
        <v>3303</v>
      </c>
      <c r="E512" s="2211" t="s">
        <v>3146</v>
      </c>
      <c r="F512" s="2212" t="s">
        <v>10762</v>
      </c>
      <c r="H512" s="2213">
        <v>4.4800000000000004</v>
      </c>
      <c r="L512" s="2210"/>
      <c r="M512" s="2214"/>
      <c r="T512" s="2215"/>
      <c r="AT512" s="2211" t="s">
        <v>3303</v>
      </c>
      <c r="AU512" s="2211" t="s">
        <v>134</v>
      </c>
      <c r="AV512" s="2209" t="s">
        <v>134</v>
      </c>
      <c r="AW512" s="2209" t="s">
        <v>3171</v>
      </c>
      <c r="AX512" s="2209" t="s">
        <v>3213</v>
      </c>
      <c r="AY512" s="2211" t="s">
        <v>3285</v>
      </c>
    </row>
    <row r="513" spans="2:65" s="2209" customFormat="1">
      <c r="B513" s="2210"/>
      <c r="D513" s="2197" t="s">
        <v>3303</v>
      </c>
      <c r="E513" s="2211" t="s">
        <v>3146</v>
      </c>
      <c r="F513" s="2212" t="s">
        <v>10763</v>
      </c>
      <c r="H513" s="2213">
        <v>5.84</v>
      </c>
      <c r="L513" s="2210"/>
      <c r="M513" s="2214"/>
      <c r="T513" s="2215"/>
      <c r="AT513" s="2211" t="s">
        <v>3303</v>
      </c>
      <c r="AU513" s="2211" t="s">
        <v>134</v>
      </c>
      <c r="AV513" s="2209" t="s">
        <v>134</v>
      </c>
      <c r="AW513" s="2209" t="s">
        <v>3171</v>
      </c>
      <c r="AX513" s="2209" t="s">
        <v>3213</v>
      </c>
      <c r="AY513" s="2211" t="s">
        <v>3285</v>
      </c>
    </row>
    <row r="514" spans="2:65" s="2209" customFormat="1">
      <c r="B514" s="2210"/>
      <c r="D514" s="2197" t="s">
        <v>3303</v>
      </c>
      <c r="E514" s="2211" t="s">
        <v>3146</v>
      </c>
      <c r="F514" s="2212" t="s">
        <v>10764</v>
      </c>
      <c r="H514" s="2213">
        <v>5.84</v>
      </c>
      <c r="L514" s="2210"/>
      <c r="M514" s="2214"/>
      <c r="T514" s="2215"/>
      <c r="AT514" s="2211" t="s">
        <v>3303</v>
      </c>
      <c r="AU514" s="2211" t="s">
        <v>134</v>
      </c>
      <c r="AV514" s="2209" t="s">
        <v>134</v>
      </c>
      <c r="AW514" s="2209" t="s">
        <v>3171</v>
      </c>
      <c r="AX514" s="2209" t="s">
        <v>3213</v>
      </c>
      <c r="AY514" s="2211" t="s">
        <v>3285</v>
      </c>
    </row>
    <row r="515" spans="2:65" s="2195" customFormat="1">
      <c r="B515" s="2196"/>
      <c r="D515" s="2197" t="s">
        <v>3303</v>
      </c>
      <c r="E515" s="2198" t="s">
        <v>3146</v>
      </c>
      <c r="F515" s="2199" t="s">
        <v>10750</v>
      </c>
      <c r="H515" s="2198" t="s">
        <v>3146</v>
      </c>
      <c r="L515" s="2196"/>
      <c r="M515" s="2200"/>
      <c r="T515" s="2201"/>
      <c r="AT515" s="2198" t="s">
        <v>3303</v>
      </c>
      <c r="AU515" s="2198" t="s">
        <v>134</v>
      </c>
      <c r="AV515" s="2195" t="s">
        <v>133</v>
      </c>
      <c r="AW515" s="2195" t="s">
        <v>3171</v>
      </c>
      <c r="AX515" s="2195" t="s">
        <v>3213</v>
      </c>
      <c r="AY515" s="2198" t="s">
        <v>3285</v>
      </c>
    </row>
    <row r="516" spans="2:65" s="2216" customFormat="1">
      <c r="B516" s="2217"/>
      <c r="D516" s="2197" t="s">
        <v>3303</v>
      </c>
      <c r="E516" s="2218" t="s">
        <v>3146</v>
      </c>
      <c r="F516" s="2219" t="s">
        <v>3306</v>
      </c>
      <c r="H516" s="2220">
        <f>SUM(H508:H514)</f>
        <v>25.279999999999998</v>
      </c>
      <c r="L516" s="2217"/>
      <c r="M516" s="2221"/>
      <c r="T516" s="2222"/>
      <c r="AT516" s="2218" t="s">
        <v>3303</v>
      </c>
      <c r="AU516" s="2218" t="s">
        <v>134</v>
      </c>
      <c r="AV516" s="2216" t="s">
        <v>856</v>
      </c>
      <c r="AW516" s="2216" t="s">
        <v>3171</v>
      </c>
      <c r="AX516" s="2216" t="s">
        <v>133</v>
      </c>
      <c r="AY516" s="2218" t="s">
        <v>3285</v>
      </c>
    </row>
    <row r="517" spans="2:65" s="2070" customFormat="1" ht="24.2" customHeight="1">
      <c r="B517" s="2164"/>
      <c r="C517" s="5561">
        <v>85</v>
      </c>
      <c r="D517" s="4608" t="s">
        <v>3286</v>
      </c>
      <c r="E517" s="4609" t="s">
        <v>10765</v>
      </c>
      <c r="F517" s="4610" t="s">
        <v>10766</v>
      </c>
      <c r="G517" s="4611" t="s">
        <v>611</v>
      </c>
      <c r="H517" s="5568">
        <f>H505</f>
        <v>25.279999999999998</v>
      </c>
      <c r="I517" s="4613"/>
      <c r="J517" s="4613">
        <f>ROUND(I517*H517,2)</f>
        <v>0</v>
      </c>
      <c r="K517" s="4610" t="s">
        <v>142</v>
      </c>
      <c r="L517" s="2071"/>
      <c r="M517" s="2190" t="s">
        <v>3146</v>
      </c>
      <c r="N517" s="2163" t="s">
        <v>3181</v>
      </c>
      <c r="O517" s="2191">
        <v>0.33800000000000002</v>
      </c>
      <c r="P517" s="2191">
        <f>O517*H517</f>
        <v>8.5446399999999993</v>
      </c>
      <c r="Q517" s="2191">
        <v>0</v>
      </c>
      <c r="R517" s="2191">
        <f>Q517*H517</f>
        <v>0</v>
      </c>
      <c r="S517" s="2191">
        <v>0</v>
      </c>
      <c r="T517" s="2192">
        <f>S517*H517</f>
        <v>0</v>
      </c>
      <c r="AR517" s="2193" t="s">
        <v>856</v>
      </c>
      <c r="AT517" s="2193" t="s">
        <v>3286</v>
      </c>
      <c r="AU517" s="2193" t="s">
        <v>134</v>
      </c>
      <c r="AY517" s="2056" t="s">
        <v>3285</v>
      </c>
      <c r="BE517" s="2194">
        <f>IF(N517="základní",J517,0)</f>
        <v>0</v>
      </c>
      <c r="BF517" s="2194">
        <f>IF(N517="snížená",J517,0)</f>
        <v>0</v>
      </c>
      <c r="BG517" s="2194">
        <f>IF(N517="zákl. přenesená",J517,0)</f>
        <v>0</v>
      </c>
      <c r="BH517" s="2194">
        <f>IF(N517="sníž. přenesená",J517,0)</f>
        <v>0</v>
      </c>
      <c r="BI517" s="2194">
        <f>IF(N517="nulová",J517,0)</f>
        <v>0</v>
      </c>
      <c r="BJ517" s="2056" t="s">
        <v>134</v>
      </c>
      <c r="BK517" s="2194">
        <f>ROUND(I517*H517,2)</f>
        <v>0</v>
      </c>
      <c r="BL517" s="2056" t="s">
        <v>856</v>
      </c>
      <c r="BM517" s="2193" t="s">
        <v>10767</v>
      </c>
    </row>
    <row r="518" spans="2:65" s="2070" customFormat="1" ht="24.2" customHeight="1">
      <c r="B518" s="2164"/>
      <c r="C518" s="4608">
        <v>86</v>
      </c>
      <c r="D518" s="4608" t="s">
        <v>3286</v>
      </c>
      <c r="E518" s="4609" t="s">
        <v>10768</v>
      </c>
      <c r="F518" s="4610" t="s">
        <v>10769</v>
      </c>
      <c r="G518" s="4611" t="s">
        <v>611</v>
      </c>
      <c r="H518" s="4612">
        <v>2.2400000000000002</v>
      </c>
      <c r="I518" s="4613"/>
      <c r="J518" s="4613">
        <f>ROUND(I518*H518,2)</f>
        <v>0</v>
      </c>
      <c r="K518" s="4610" t="s">
        <v>142</v>
      </c>
      <c r="L518" s="2071"/>
      <c r="M518" s="2190" t="s">
        <v>3146</v>
      </c>
      <c r="N518" s="2163" t="s">
        <v>3181</v>
      </c>
      <c r="O518" s="2191">
        <v>0.11600000000000001</v>
      </c>
      <c r="P518" s="2191">
        <f>O518*H518</f>
        <v>0.25984000000000002</v>
      </c>
      <c r="Q518" s="2191">
        <v>2.81E-3</v>
      </c>
      <c r="R518" s="2191">
        <f>Q518*H518</f>
        <v>6.2944000000000003E-3</v>
      </c>
      <c r="S518" s="2191">
        <v>0</v>
      </c>
      <c r="T518" s="2192">
        <f>S518*H518</f>
        <v>0</v>
      </c>
      <c r="AR518" s="2193" t="s">
        <v>856</v>
      </c>
      <c r="AT518" s="2193" t="s">
        <v>3286</v>
      </c>
      <c r="AU518" s="2193" t="s">
        <v>134</v>
      </c>
      <c r="AY518" s="2056" t="s">
        <v>3285</v>
      </c>
      <c r="BE518" s="2194">
        <f>IF(N518="základní",J518,0)</f>
        <v>0</v>
      </c>
      <c r="BF518" s="2194">
        <f>IF(N518="snížená",J518,0)</f>
        <v>0</v>
      </c>
      <c r="BG518" s="2194">
        <f>IF(N518="zákl. přenesená",J518,0)</f>
        <v>0</v>
      </c>
      <c r="BH518" s="2194">
        <f>IF(N518="sníž. přenesená",J518,0)</f>
        <v>0</v>
      </c>
      <c r="BI518" s="2194">
        <f>IF(N518="nulová",J518,0)</f>
        <v>0</v>
      </c>
      <c r="BJ518" s="2056" t="s">
        <v>134</v>
      </c>
      <c r="BK518" s="2194">
        <f>ROUND(I518*H518,2)</f>
        <v>0</v>
      </c>
      <c r="BL518" s="2056" t="s">
        <v>856</v>
      </c>
      <c r="BM518" s="2193" t="s">
        <v>10770</v>
      </c>
    </row>
    <row r="519" spans="2:65" s="2195" customFormat="1">
      <c r="B519" s="2196"/>
      <c r="D519" s="2197" t="s">
        <v>3303</v>
      </c>
      <c r="E519" s="2198" t="s">
        <v>3146</v>
      </c>
      <c r="F519" s="2199" t="s">
        <v>10771</v>
      </c>
      <c r="H519" s="2198" t="s">
        <v>3146</v>
      </c>
      <c r="L519" s="2196"/>
      <c r="M519" s="2200"/>
      <c r="T519" s="2201"/>
      <c r="AT519" s="2198" t="s">
        <v>3303</v>
      </c>
      <c r="AU519" s="2198" t="s">
        <v>134</v>
      </c>
      <c r="AV519" s="2195" t="s">
        <v>133</v>
      </c>
      <c r="AW519" s="2195" t="s">
        <v>3171</v>
      </c>
      <c r="AX519" s="2195" t="s">
        <v>3213</v>
      </c>
      <c r="AY519" s="2198" t="s">
        <v>3285</v>
      </c>
    </row>
    <row r="520" spans="2:65" s="2195" customFormat="1">
      <c r="B520" s="2196"/>
      <c r="D520" s="2197" t="s">
        <v>3303</v>
      </c>
      <c r="E520" s="2198" t="s">
        <v>3146</v>
      </c>
      <c r="F520" s="2199" t="s">
        <v>10761</v>
      </c>
      <c r="H520" s="2198" t="s">
        <v>3146</v>
      </c>
      <c r="L520" s="2196"/>
      <c r="M520" s="2200"/>
      <c r="T520" s="2201"/>
      <c r="AT520" s="2198" t="s">
        <v>3303</v>
      </c>
      <c r="AU520" s="2198" t="s">
        <v>134</v>
      </c>
      <c r="AV520" s="2195" t="s">
        <v>133</v>
      </c>
      <c r="AW520" s="2195" t="s">
        <v>3171</v>
      </c>
      <c r="AX520" s="2195" t="s">
        <v>3213</v>
      </c>
      <c r="AY520" s="2198" t="s">
        <v>3285</v>
      </c>
    </row>
    <row r="521" spans="2:65" s="2209" customFormat="1">
      <c r="B521" s="2210"/>
      <c r="D521" s="2197" t="s">
        <v>3303</v>
      </c>
      <c r="E521" s="2211" t="s">
        <v>3146</v>
      </c>
      <c r="F521" s="2212" t="s">
        <v>10772</v>
      </c>
      <c r="H521" s="2213">
        <v>2.2400000000000002</v>
      </c>
      <c r="L521" s="2210"/>
      <c r="M521" s="2214"/>
      <c r="T521" s="2215"/>
      <c r="AT521" s="2211" t="s">
        <v>3303</v>
      </c>
      <c r="AU521" s="2211" t="s">
        <v>134</v>
      </c>
      <c r="AV521" s="2209" t="s">
        <v>134</v>
      </c>
      <c r="AW521" s="2209" t="s">
        <v>3171</v>
      </c>
      <c r="AX521" s="2209" t="s">
        <v>3213</v>
      </c>
      <c r="AY521" s="2211" t="s">
        <v>3285</v>
      </c>
    </row>
    <row r="522" spans="2:65" s="2216" customFormat="1">
      <c r="B522" s="2217"/>
      <c r="D522" s="2197" t="s">
        <v>3303</v>
      </c>
      <c r="E522" s="2218" t="s">
        <v>3146</v>
      </c>
      <c r="F522" s="2219" t="s">
        <v>3306</v>
      </c>
      <c r="H522" s="2220">
        <v>2.2400000000000002</v>
      </c>
      <c r="L522" s="2217"/>
      <c r="M522" s="2221"/>
      <c r="T522" s="2222"/>
      <c r="AT522" s="2218" t="s">
        <v>3303</v>
      </c>
      <c r="AU522" s="2218" t="s">
        <v>134</v>
      </c>
      <c r="AV522" s="2216" t="s">
        <v>856</v>
      </c>
      <c r="AW522" s="2216" t="s">
        <v>3171</v>
      </c>
      <c r="AX522" s="2216" t="s">
        <v>133</v>
      </c>
      <c r="AY522" s="2218" t="s">
        <v>3285</v>
      </c>
    </row>
    <row r="523" spans="2:65" s="2070" customFormat="1" ht="24.2" customHeight="1">
      <c r="B523" s="2164"/>
      <c r="C523" s="4608">
        <v>87</v>
      </c>
      <c r="D523" s="4608" t="s">
        <v>3286</v>
      </c>
      <c r="E523" s="4609" t="s">
        <v>10773</v>
      </c>
      <c r="F523" s="4610" t="s">
        <v>10774</v>
      </c>
      <c r="G523" s="4611" t="s">
        <v>611</v>
      </c>
      <c r="H523" s="4612">
        <v>2.2400000000000002</v>
      </c>
      <c r="I523" s="4613"/>
      <c r="J523" s="4613">
        <f t="shared" ref="J523:J531" si="10">ROUND(I523*H523,2)</f>
        <v>0</v>
      </c>
      <c r="K523" s="4610" t="s">
        <v>142</v>
      </c>
      <c r="L523" s="2071"/>
      <c r="M523" s="2190" t="s">
        <v>3146</v>
      </c>
      <c r="N523" s="2163" t="s">
        <v>3181</v>
      </c>
      <c r="O523" s="2191">
        <v>0.04</v>
      </c>
      <c r="P523" s="2191">
        <f t="shared" ref="P523:P531" si="11">O523*H523</f>
        <v>8.9600000000000013E-2</v>
      </c>
      <c r="Q523" s="2191">
        <v>0</v>
      </c>
      <c r="R523" s="2191">
        <f t="shared" ref="R523:R531" si="12">Q523*H523</f>
        <v>0</v>
      </c>
      <c r="S523" s="2191">
        <v>0</v>
      </c>
      <c r="T523" s="2192">
        <f t="shared" ref="T523:T531" si="13">S523*H523</f>
        <v>0</v>
      </c>
      <c r="AR523" s="2193" t="s">
        <v>856</v>
      </c>
      <c r="AT523" s="2193" t="s">
        <v>3286</v>
      </c>
      <c r="AU523" s="2193" t="s">
        <v>134</v>
      </c>
      <c r="AY523" s="2056" t="s">
        <v>3285</v>
      </c>
      <c r="BE523" s="2194">
        <f t="shared" ref="BE523:BE531" si="14">IF(N523="základní",J523,0)</f>
        <v>0</v>
      </c>
      <c r="BF523" s="2194">
        <f t="shared" ref="BF523:BF531" si="15">IF(N523="snížená",J523,0)</f>
        <v>0</v>
      </c>
      <c r="BG523" s="2194">
        <f t="shared" ref="BG523:BG531" si="16">IF(N523="zákl. přenesená",J523,0)</f>
        <v>0</v>
      </c>
      <c r="BH523" s="2194">
        <f t="shared" ref="BH523:BH531" si="17">IF(N523="sníž. přenesená",J523,0)</f>
        <v>0</v>
      </c>
      <c r="BI523" s="2194">
        <f t="shared" ref="BI523:BI531" si="18">IF(N523="nulová",J523,0)</f>
        <v>0</v>
      </c>
      <c r="BJ523" s="2056" t="s">
        <v>134</v>
      </c>
      <c r="BK523" s="2194">
        <f t="shared" ref="BK523:BK531" si="19">ROUND(I523*H523,2)</f>
        <v>0</v>
      </c>
      <c r="BL523" s="2056" t="s">
        <v>856</v>
      </c>
      <c r="BM523" s="2193" t="s">
        <v>10775</v>
      </c>
    </row>
    <row r="524" spans="2:65" s="2070" customFormat="1" ht="24.2" customHeight="1">
      <c r="B524" s="2164"/>
      <c r="C524" s="4608">
        <v>88</v>
      </c>
      <c r="D524" s="4608" t="s">
        <v>3286</v>
      </c>
      <c r="E524" s="4609" t="s">
        <v>3638</v>
      </c>
      <c r="F524" s="4610" t="s">
        <v>3639</v>
      </c>
      <c r="G524" s="4611" t="s">
        <v>155</v>
      </c>
      <c r="H524" s="4612">
        <v>1</v>
      </c>
      <c r="I524" s="4613"/>
      <c r="J524" s="4613">
        <f t="shared" si="10"/>
        <v>0</v>
      </c>
      <c r="K524" s="4610" t="s">
        <v>3146</v>
      </c>
      <c r="L524" s="2071"/>
      <c r="M524" s="2190" t="s">
        <v>3146</v>
      </c>
      <c r="N524" s="2163" t="s">
        <v>3181</v>
      </c>
      <c r="O524" s="2191">
        <v>0</v>
      </c>
      <c r="P524" s="2191">
        <f t="shared" si="11"/>
        <v>0</v>
      </c>
      <c r="Q524" s="2191">
        <v>0</v>
      </c>
      <c r="R524" s="2191">
        <f t="shared" si="12"/>
        <v>0</v>
      </c>
      <c r="S524" s="2191">
        <v>0</v>
      </c>
      <c r="T524" s="2192">
        <f t="shared" si="13"/>
        <v>0</v>
      </c>
      <c r="AR524" s="2193" t="s">
        <v>856</v>
      </c>
      <c r="AT524" s="2193" t="s">
        <v>3286</v>
      </c>
      <c r="AU524" s="2193" t="s">
        <v>134</v>
      </c>
      <c r="AY524" s="2056" t="s">
        <v>3285</v>
      </c>
      <c r="BE524" s="2194">
        <f t="shared" si="14"/>
        <v>0</v>
      </c>
      <c r="BF524" s="2194">
        <f t="shared" si="15"/>
        <v>0</v>
      </c>
      <c r="BG524" s="2194">
        <f t="shared" si="16"/>
        <v>0</v>
      </c>
      <c r="BH524" s="2194">
        <f t="shared" si="17"/>
        <v>0</v>
      </c>
      <c r="BI524" s="2194">
        <f t="shared" si="18"/>
        <v>0</v>
      </c>
      <c r="BJ524" s="2056" t="s">
        <v>134</v>
      </c>
      <c r="BK524" s="2194">
        <f t="shared" si="19"/>
        <v>0</v>
      </c>
      <c r="BL524" s="2056" t="s">
        <v>856</v>
      </c>
      <c r="BM524" s="2193" t="s">
        <v>3640</v>
      </c>
    </row>
    <row r="525" spans="2:65" s="2070" customFormat="1" ht="24.2" customHeight="1">
      <c r="B525" s="2164"/>
      <c r="C525" s="4608">
        <v>89</v>
      </c>
      <c r="D525" s="4608" t="s">
        <v>3286</v>
      </c>
      <c r="E525" s="4609" t="s">
        <v>3641</v>
      </c>
      <c r="F525" s="4610" t="s">
        <v>3639</v>
      </c>
      <c r="G525" s="4611" t="s">
        <v>155</v>
      </c>
      <c r="H525" s="4612">
        <v>1</v>
      </c>
      <c r="I525" s="4613"/>
      <c r="J525" s="4613">
        <f t="shared" si="10"/>
        <v>0</v>
      </c>
      <c r="K525" s="4610" t="s">
        <v>3146</v>
      </c>
      <c r="L525" s="2071"/>
      <c r="M525" s="2190" t="s">
        <v>3146</v>
      </c>
      <c r="N525" s="2163" t="s">
        <v>3181</v>
      </c>
      <c r="O525" s="2191">
        <v>0</v>
      </c>
      <c r="P525" s="2191">
        <f t="shared" si="11"/>
        <v>0</v>
      </c>
      <c r="Q525" s="2191">
        <v>0</v>
      </c>
      <c r="R525" s="2191">
        <f t="shared" si="12"/>
        <v>0</v>
      </c>
      <c r="S525" s="2191">
        <v>0</v>
      </c>
      <c r="T525" s="2192">
        <f t="shared" si="13"/>
        <v>0</v>
      </c>
      <c r="AR525" s="2193" t="s">
        <v>856</v>
      </c>
      <c r="AT525" s="2193" t="s">
        <v>3286</v>
      </c>
      <c r="AU525" s="2193" t="s">
        <v>134</v>
      </c>
      <c r="AY525" s="2056" t="s">
        <v>3285</v>
      </c>
      <c r="BE525" s="2194">
        <f t="shared" si="14"/>
        <v>0</v>
      </c>
      <c r="BF525" s="2194">
        <f t="shared" si="15"/>
        <v>0</v>
      </c>
      <c r="BG525" s="2194">
        <f t="shared" si="16"/>
        <v>0</v>
      </c>
      <c r="BH525" s="2194">
        <f t="shared" si="17"/>
        <v>0</v>
      </c>
      <c r="BI525" s="2194">
        <f t="shared" si="18"/>
        <v>0</v>
      </c>
      <c r="BJ525" s="2056" t="s">
        <v>134</v>
      </c>
      <c r="BK525" s="2194">
        <f t="shared" si="19"/>
        <v>0</v>
      </c>
      <c r="BL525" s="2056" t="s">
        <v>856</v>
      </c>
      <c r="BM525" s="2193" t="s">
        <v>3642</v>
      </c>
    </row>
    <row r="526" spans="2:65" s="2070" customFormat="1" ht="24.2" customHeight="1">
      <c r="B526" s="2164"/>
      <c r="C526" s="4608">
        <v>90</v>
      </c>
      <c r="D526" s="4608" t="s">
        <v>3286</v>
      </c>
      <c r="E526" s="4609" t="s">
        <v>3643</v>
      </c>
      <c r="F526" s="4610" t="s">
        <v>3639</v>
      </c>
      <c r="G526" s="4611" t="s">
        <v>155</v>
      </c>
      <c r="H526" s="4612">
        <v>1</v>
      </c>
      <c r="I526" s="4613"/>
      <c r="J526" s="4613">
        <f t="shared" si="10"/>
        <v>0</v>
      </c>
      <c r="K526" s="4610" t="s">
        <v>3146</v>
      </c>
      <c r="L526" s="2071"/>
      <c r="M526" s="2190" t="s">
        <v>3146</v>
      </c>
      <c r="N526" s="2163" t="s">
        <v>3181</v>
      </c>
      <c r="O526" s="2191">
        <v>0</v>
      </c>
      <c r="P526" s="2191">
        <f t="shared" si="11"/>
        <v>0</v>
      </c>
      <c r="Q526" s="2191">
        <v>0</v>
      </c>
      <c r="R526" s="2191">
        <f t="shared" si="12"/>
        <v>0</v>
      </c>
      <c r="S526" s="2191">
        <v>0</v>
      </c>
      <c r="T526" s="2192">
        <f t="shared" si="13"/>
        <v>0</v>
      </c>
      <c r="AR526" s="2193" t="s">
        <v>856</v>
      </c>
      <c r="AT526" s="2193" t="s">
        <v>3286</v>
      </c>
      <c r="AU526" s="2193" t="s">
        <v>134</v>
      </c>
      <c r="AY526" s="2056" t="s">
        <v>3285</v>
      </c>
      <c r="BE526" s="2194">
        <f t="shared" si="14"/>
        <v>0</v>
      </c>
      <c r="BF526" s="2194">
        <f t="shared" si="15"/>
        <v>0</v>
      </c>
      <c r="BG526" s="2194">
        <f t="shared" si="16"/>
        <v>0</v>
      </c>
      <c r="BH526" s="2194">
        <f t="shared" si="17"/>
        <v>0</v>
      </c>
      <c r="BI526" s="2194">
        <f t="shared" si="18"/>
        <v>0</v>
      </c>
      <c r="BJ526" s="2056" t="s">
        <v>134</v>
      </c>
      <c r="BK526" s="2194">
        <f t="shared" si="19"/>
        <v>0</v>
      </c>
      <c r="BL526" s="2056" t="s">
        <v>856</v>
      </c>
      <c r="BM526" s="2193" t="s">
        <v>3644</v>
      </c>
    </row>
    <row r="527" spans="2:65" s="2070" customFormat="1" ht="24.2" customHeight="1">
      <c r="B527" s="2164"/>
      <c r="C527" s="4608">
        <v>91</v>
      </c>
      <c r="D527" s="4608" t="s">
        <v>3286</v>
      </c>
      <c r="E527" s="4609" t="s">
        <v>3645</v>
      </c>
      <c r="F527" s="4610" t="s">
        <v>3639</v>
      </c>
      <c r="G527" s="4611" t="s">
        <v>155</v>
      </c>
      <c r="H527" s="4612">
        <v>2</v>
      </c>
      <c r="I527" s="4613"/>
      <c r="J527" s="4613">
        <f t="shared" si="10"/>
        <v>0</v>
      </c>
      <c r="K527" s="4610" t="s">
        <v>3146</v>
      </c>
      <c r="L527" s="2071"/>
      <c r="M527" s="2190" t="s">
        <v>3146</v>
      </c>
      <c r="N527" s="2163" t="s">
        <v>3181</v>
      </c>
      <c r="O527" s="2191">
        <v>0</v>
      </c>
      <c r="P527" s="2191">
        <f t="shared" si="11"/>
        <v>0</v>
      </c>
      <c r="Q527" s="2191">
        <v>0</v>
      </c>
      <c r="R527" s="2191">
        <f t="shared" si="12"/>
        <v>0</v>
      </c>
      <c r="S527" s="2191">
        <v>0</v>
      </c>
      <c r="T527" s="2192">
        <f t="shared" si="13"/>
        <v>0</v>
      </c>
      <c r="AR527" s="2193" t="s">
        <v>856</v>
      </c>
      <c r="AT527" s="2193" t="s">
        <v>3286</v>
      </c>
      <c r="AU527" s="2193" t="s">
        <v>134</v>
      </c>
      <c r="AY527" s="2056" t="s">
        <v>3285</v>
      </c>
      <c r="BE527" s="2194">
        <f t="shared" si="14"/>
        <v>0</v>
      </c>
      <c r="BF527" s="2194">
        <f t="shared" si="15"/>
        <v>0</v>
      </c>
      <c r="BG527" s="2194">
        <f t="shared" si="16"/>
        <v>0</v>
      </c>
      <c r="BH527" s="2194">
        <f t="shared" si="17"/>
        <v>0</v>
      </c>
      <c r="BI527" s="2194">
        <f t="shared" si="18"/>
        <v>0</v>
      </c>
      <c r="BJ527" s="2056" t="s">
        <v>134</v>
      </c>
      <c r="BK527" s="2194">
        <f t="shared" si="19"/>
        <v>0</v>
      </c>
      <c r="BL527" s="2056" t="s">
        <v>856</v>
      </c>
      <c r="BM527" s="2193" t="s">
        <v>3646</v>
      </c>
    </row>
    <row r="528" spans="2:65" s="2070" customFormat="1" ht="24.2" customHeight="1">
      <c r="B528" s="2164"/>
      <c r="C528" s="4608">
        <v>92</v>
      </c>
      <c r="D528" s="4608" t="s">
        <v>3286</v>
      </c>
      <c r="E528" s="4609" t="s">
        <v>3647</v>
      </c>
      <c r="F528" s="4610" t="s">
        <v>3639</v>
      </c>
      <c r="G528" s="4611" t="s">
        <v>155</v>
      </c>
      <c r="H528" s="4612">
        <v>2</v>
      </c>
      <c r="I528" s="4613"/>
      <c r="J528" s="4613">
        <f t="shared" si="10"/>
        <v>0</v>
      </c>
      <c r="K528" s="4610" t="s">
        <v>3146</v>
      </c>
      <c r="L528" s="2071"/>
      <c r="M528" s="2190" t="s">
        <v>3146</v>
      </c>
      <c r="N528" s="2163" t="s">
        <v>3181</v>
      </c>
      <c r="O528" s="2191">
        <v>0</v>
      </c>
      <c r="P528" s="2191">
        <f t="shared" si="11"/>
        <v>0</v>
      </c>
      <c r="Q528" s="2191">
        <v>0</v>
      </c>
      <c r="R528" s="2191">
        <f t="shared" si="12"/>
        <v>0</v>
      </c>
      <c r="S528" s="2191">
        <v>0</v>
      </c>
      <c r="T528" s="2192">
        <f t="shared" si="13"/>
        <v>0</v>
      </c>
      <c r="AR528" s="2193" t="s">
        <v>856</v>
      </c>
      <c r="AT528" s="2193" t="s">
        <v>3286</v>
      </c>
      <c r="AU528" s="2193" t="s">
        <v>134</v>
      </c>
      <c r="AY528" s="2056" t="s">
        <v>3285</v>
      </c>
      <c r="BE528" s="2194">
        <f t="shared" si="14"/>
        <v>0</v>
      </c>
      <c r="BF528" s="2194">
        <f t="shared" si="15"/>
        <v>0</v>
      </c>
      <c r="BG528" s="2194">
        <f t="shared" si="16"/>
        <v>0</v>
      </c>
      <c r="BH528" s="2194">
        <f t="shared" si="17"/>
        <v>0</v>
      </c>
      <c r="BI528" s="2194">
        <f t="shared" si="18"/>
        <v>0</v>
      </c>
      <c r="BJ528" s="2056" t="s">
        <v>134</v>
      </c>
      <c r="BK528" s="2194">
        <f t="shared" si="19"/>
        <v>0</v>
      </c>
      <c r="BL528" s="2056" t="s">
        <v>856</v>
      </c>
      <c r="BM528" s="2193" t="s">
        <v>3648</v>
      </c>
    </row>
    <row r="529" spans="2:65" s="2070" customFormat="1" ht="24.2" customHeight="1">
      <c r="B529" s="2164"/>
      <c r="C529" s="4608">
        <v>93</v>
      </c>
      <c r="D529" s="4608" t="s">
        <v>3286</v>
      </c>
      <c r="E529" s="4609" t="s">
        <v>3649</v>
      </c>
      <c r="F529" s="4610" t="s">
        <v>3650</v>
      </c>
      <c r="G529" s="4611" t="s">
        <v>155</v>
      </c>
      <c r="H529" s="4612">
        <v>2</v>
      </c>
      <c r="I529" s="4613"/>
      <c r="J529" s="4613">
        <f t="shared" si="10"/>
        <v>0</v>
      </c>
      <c r="K529" s="4610" t="s">
        <v>3146</v>
      </c>
      <c r="L529" s="2071"/>
      <c r="M529" s="2190" t="s">
        <v>3146</v>
      </c>
      <c r="N529" s="2163" t="s">
        <v>3181</v>
      </c>
      <c r="O529" s="2191">
        <v>0</v>
      </c>
      <c r="P529" s="2191">
        <f t="shared" si="11"/>
        <v>0</v>
      </c>
      <c r="Q529" s="2191">
        <v>0</v>
      </c>
      <c r="R529" s="2191">
        <f t="shared" si="12"/>
        <v>0</v>
      </c>
      <c r="S529" s="2191">
        <v>0</v>
      </c>
      <c r="T529" s="2192">
        <f t="shared" si="13"/>
        <v>0</v>
      </c>
      <c r="AR529" s="2193" t="s">
        <v>856</v>
      </c>
      <c r="AT529" s="2193" t="s">
        <v>3286</v>
      </c>
      <c r="AU529" s="2193" t="s">
        <v>134</v>
      </c>
      <c r="AY529" s="2056" t="s">
        <v>3285</v>
      </c>
      <c r="BE529" s="2194">
        <f t="shared" si="14"/>
        <v>0</v>
      </c>
      <c r="BF529" s="2194">
        <f t="shared" si="15"/>
        <v>0</v>
      </c>
      <c r="BG529" s="2194">
        <f t="shared" si="16"/>
        <v>0</v>
      </c>
      <c r="BH529" s="2194">
        <f t="shared" si="17"/>
        <v>0</v>
      </c>
      <c r="BI529" s="2194">
        <f t="shared" si="18"/>
        <v>0</v>
      </c>
      <c r="BJ529" s="2056" t="s">
        <v>134</v>
      </c>
      <c r="BK529" s="2194">
        <f t="shared" si="19"/>
        <v>0</v>
      </c>
      <c r="BL529" s="2056" t="s">
        <v>856</v>
      </c>
      <c r="BM529" s="2193" t="s">
        <v>3651</v>
      </c>
    </row>
    <row r="530" spans="2:65" s="2070" customFormat="1" ht="24.2" customHeight="1">
      <c r="B530" s="2164"/>
      <c r="C530" s="4608">
        <v>94</v>
      </c>
      <c r="D530" s="4608" t="s">
        <v>3286</v>
      </c>
      <c r="E530" s="4609" t="s">
        <v>3652</v>
      </c>
      <c r="F530" s="4610" t="s">
        <v>3650</v>
      </c>
      <c r="G530" s="4611" t="s">
        <v>155</v>
      </c>
      <c r="H530" s="4612">
        <v>2</v>
      </c>
      <c r="I530" s="4613"/>
      <c r="J530" s="4613">
        <f t="shared" si="10"/>
        <v>0</v>
      </c>
      <c r="K530" s="4610" t="s">
        <v>3146</v>
      </c>
      <c r="L530" s="2071"/>
      <c r="M530" s="2190" t="s">
        <v>3146</v>
      </c>
      <c r="N530" s="2163" t="s">
        <v>3181</v>
      </c>
      <c r="O530" s="2191">
        <v>0</v>
      </c>
      <c r="P530" s="2191">
        <f t="shared" si="11"/>
        <v>0</v>
      </c>
      <c r="Q530" s="2191">
        <v>0</v>
      </c>
      <c r="R530" s="2191">
        <f t="shared" si="12"/>
        <v>0</v>
      </c>
      <c r="S530" s="2191">
        <v>0</v>
      </c>
      <c r="T530" s="2192">
        <f t="shared" si="13"/>
        <v>0</v>
      </c>
      <c r="AR530" s="2193" t="s">
        <v>856</v>
      </c>
      <c r="AT530" s="2193" t="s">
        <v>3286</v>
      </c>
      <c r="AU530" s="2193" t="s">
        <v>134</v>
      </c>
      <c r="AY530" s="2056" t="s">
        <v>3285</v>
      </c>
      <c r="BE530" s="2194">
        <f t="shared" si="14"/>
        <v>0</v>
      </c>
      <c r="BF530" s="2194">
        <f t="shared" si="15"/>
        <v>0</v>
      </c>
      <c r="BG530" s="2194">
        <f t="shared" si="16"/>
        <v>0</v>
      </c>
      <c r="BH530" s="2194">
        <f t="shared" si="17"/>
        <v>0</v>
      </c>
      <c r="BI530" s="2194">
        <f t="shared" si="18"/>
        <v>0</v>
      </c>
      <c r="BJ530" s="2056" t="s">
        <v>134</v>
      </c>
      <c r="BK530" s="2194">
        <f t="shared" si="19"/>
        <v>0</v>
      </c>
      <c r="BL530" s="2056" t="s">
        <v>856</v>
      </c>
      <c r="BM530" s="2193" t="s">
        <v>3653</v>
      </c>
    </row>
    <row r="531" spans="2:65" s="2070" customFormat="1" ht="24.2" customHeight="1">
      <c r="B531" s="2164"/>
      <c r="C531" s="4608">
        <v>95</v>
      </c>
      <c r="D531" s="4608" t="s">
        <v>3286</v>
      </c>
      <c r="E531" s="4609" t="s">
        <v>3654</v>
      </c>
      <c r="F531" s="4610" t="s">
        <v>3650</v>
      </c>
      <c r="G531" s="4611" t="s">
        <v>155</v>
      </c>
      <c r="H531" s="4612">
        <v>2</v>
      </c>
      <c r="I531" s="4613"/>
      <c r="J531" s="4613">
        <f t="shared" si="10"/>
        <v>0</v>
      </c>
      <c r="K531" s="4610" t="s">
        <v>3146</v>
      </c>
      <c r="L531" s="2071"/>
      <c r="M531" s="2190" t="s">
        <v>3146</v>
      </c>
      <c r="N531" s="2163" t="s">
        <v>3181</v>
      </c>
      <c r="O531" s="2191">
        <v>0</v>
      </c>
      <c r="P531" s="2191">
        <f t="shared" si="11"/>
        <v>0</v>
      </c>
      <c r="Q531" s="2191">
        <v>0</v>
      </c>
      <c r="R531" s="2191">
        <f t="shared" si="12"/>
        <v>0</v>
      </c>
      <c r="S531" s="2191">
        <v>0</v>
      </c>
      <c r="T531" s="2192">
        <f t="shared" si="13"/>
        <v>0</v>
      </c>
      <c r="AR531" s="2193" t="s">
        <v>856</v>
      </c>
      <c r="AT531" s="2193" t="s">
        <v>3286</v>
      </c>
      <c r="AU531" s="2193" t="s">
        <v>134</v>
      </c>
      <c r="AY531" s="2056" t="s">
        <v>3285</v>
      </c>
      <c r="BE531" s="2194">
        <f t="shared" si="14"/>
        <v>0</v>
      </c>
      <c r="BF531" s="2194">
        <f t="shared" si="15"/>
        <v>0</v>
      </c>
      <c r="BG531" s="2194">
        <f t="shared" si="16"/>
        <v>0</v>
      </c>
      <c r="BH531" s="2194">
        <f t="shared" si="17"/>
        <v>0</v>
      </c>
      <c r="BI531" s="2194">
        <f t="shared" si="18"/>
        <v>0</v>
      </c>
      <c r="BJ531" s="2056" t="s">
        <v>134</v>
      </c>
      <c r="BK531" s="2194">
        <f t="shared" si="19"/>
        <v>0</v>
      </c>
      <c r="BL531" s="2056" t="s">
        <v>856</v>
      </c>
      <c r="BM531" s="2193" t="s">
        <v>3655</v>
      </c>
    </row>
    <row r="532" spans="2:65" s="2178" customFormat="1" ht="22.9" customHeight="1">
      <c r="B532" s="2179"/>
      <c r="D532" s="2180" t="s">
        <v>3212</v>
      </c>
      <c r="E532" s="2188" t="s">
        <v>860</v>
      </c>
      <c r="F532" s="2188" t="s">
        <v>3656</v>
      </c>
      <c r="J532" s="2189">
        <f>BK532</f>
        <v>0</v>
      </c>
      <c r="L532" s="2179"/>
      <c r="M532" s="2183"/>
      <c r="P532" s="2184">
        <f>SUM(P533:P684)</f>
        <v>13371.397874</v>
      </c>
      <c r="R532" s="2184">
        <f>SUM(R533:R684)</f>
        <v>275.47409892999997</v>
      </c>
      <c r="T532" s="2185">
        <f>SUM(T533:T684)</f>
        <v>0</v>
      </c>
      <c r="AR532" s="2180" t="s">
        <v>133</v>
      </c>
      <c r="AT532" s="2186" t="s">
        <v>3212</v>
      </c>
      <c r="AU532" s="2186" t="s">
        <v>133</v>
      </c>
      <c r="AY532" s="2180" t="s">
        <v>3285</v>
      </c>
      <c r="BK532" s="2187">
        <f>SUM(BK533:BK684)</f>
        <v>0</v>
      </c>
    </row>
    <row r="533" spans="2:65" s="2070" customFormat="1" ht="24.2" customHeight="1">
      <c r="B533" s="2164"/>
      <c r="C533" s="4608">
        <v>96</v>
      </c>
      <c r="D533" s="4608" t="s">
        <v>3286</v>
      </c>
      <c r="E533" s="4609" t="s">
        <v>3657</v>
      </c>
      <c r="F533" s="4610" t="s">
        <v>3658</v>
      </c>
      <c r="G533" s="4611" t="s">
        <v>611</v>
      </c>
      <c r="H533" s="4612">
        <v>2913.7739999999999</v>
      </c>
      <c r="I533" s="4613"/>
      <c r="J533" s="4613">
        <f>ROUND(I533*H533,2)</f>
        <v>0</v>
      </c>
      <c r="K533" s="4610" t="s">
        <v>142</v>
      </c>
      <c r="L533" s="2071"/>
      <c r="M533" s="2190" t="s">
        <v>3146</v>
      </c>
      <c r="N533" s="2163" t="s">
        <v>3181</v>
      </c>
      <c r="O533" s="2191">
        <v>6.8000000000000005E-2</v>
      </c>
      <c r="P533" s="2191">
        <f>O533*H533</f>
        <v>198.13663200000002</v>
      </c>
      <c r="Q533" s="2191">
        <v>0</v>
      </c>
      <c r="R533" s="2191">
        <f>Q533*H533</f>
        <v>0</v>
      </c>
      <c r="S533" s="2191">
        <v>0</v>
      </c>
      <c r="T533" s="2192">
        <f>S533*H533</f>
        <v>0</v>
      </c>
      <c r="AR533" s="2193" t="s">
        <v>856</v>
      </c>
      <c r="AT533" s="2193" t="s">
        <v>3286</v>
      </c>
      <c r="AU533" s="2193" t="s">
        <v>134</v>
      </c>
      <c r="AY533" s="2056" t="s">
        <v>3285</v>
      </c>
      <c r="BE533" s="2194">
        <f>IF(N533="základní",J533,0)</f>
        <v>0</v>
      </c>
      <c r="BF533" s="2194">
        <f>IF(N533="snížená",J533,0)</f>
        <v>0</v>
      </c>
      <c r="BG533" s="2194">
        <f>IF(N533="zákl. přenesená",J533,0)</f>
        <v>0</v>
      </c>
      <c r="BH533" s="2194">
        <f>IF(N533="sníž. přenesená",J533,0)</f>
        <v>0</v>
      </c>
      <c r="BI533" s="2194">
        <f>IF(N533="nulová",J533,0)</f>
        <v>0</v>
      </c>
      <c r="BJ533" s="2056" t="s">
        <v>134</v>
      </c>
      <c r="BK533" s="2194">
        <f>ROUND(I533*H533,2)</f>
        <v>0</v>
      </c>
      <c r="BL533" s="2056" t="s">
        <v>856</v>
      </c>
      <c r="BM533" s="2193" t="s">
        <v>3659</v>
      </c>
    </row>
    <row r="534" spans="2:65" s="2195" customFormat="1">
      <c r="B534" s="2196"/>
      <c r="D534" s="2197" t="s">
        <v>3303</v>
      </c>
      <c r="E534" s="2198" t="s">
        <v>3146</v>
      </c>
      <c r="F534" s="2199" t="s">
        <v>3517</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3660</v>
      </c>
      <c r="H535" s="2213">
        <v>440.01100000000002</v>
      </c>
      <c r="L535" s="2210"/>
      <c r="M535" s="2214"/>
      <c r="T535" s="2215"/>
      <c r="AT535" s="2211" t="s">
        <v>3303</v>
      </c>
      <c r="AU535" s="2211" t="s">
        <v>134</v>
      </c>
      <c r="AV535" s="2209" t="s">
        <v>134</v>
      </c>
      <c r="AW535" s="2209" t="s">
        <v>3171</v>
      </c>
      <c r="AX535" s="2209" t="s">
        <v>3213</v>
      </c>
      <c r="AY535" s="2211" t="s">
        <v>3285</v>
      </c>
    </row>
    <row r="536" spans="2:65" s="2195" customFormat="1">
      <c r="B536" s="2196"/>
      <c r="D536" s="2197" t="s">
        <v>3303</v>
      </c>
      <c r="E536" s="2198" t="s">
        <v>3146</v>
      </c>
      <c r="F536" s="2199" t="s">
        <v>3661</v>
      </c>
      <c r="H536" s="2198" t="s">
        <v>3146</v>
      </c>
      <c r="L536" s="2196"/>
      <c r="M536" s="2200"/>
      <c r="T536" s="2201"/>
      <c r="AT536" s="2198" t="s">
        <v>3303</v>
      </c>
      <c r="AU536" s="2198" t="s">
        <v>134</v>
      </c>
      <c r="AV536" s="2195" t="s">
        <v>133</v>
      </c>
      <c r="AW536" s="2195" t="s">
        <v>3171</v>
      </c>
      <c r="AX536" s="2195" t="s">
        <v>3213</v>
      </c>
      <c r="AY536" s="2198" t="s">
        <v>3285</v>
      </c>
    </row>
    <row r="537" spans="2:65" s="2209" customFormat="1">
      <c r="B537" s="2210"/>
      <c r="D537" s="2197" t="s">
        <v>3303</v>
      </c>
      <c r="E537" s="2211" t="s">
        <v>3146</v>
      </c>
      <c r="F537" s="2212" t="s">
        <v>3662</v>
      </c>
      <c r="H537" s="2213">
        <v>625.54399999999998</v>
      </c>
      <c r="L537" s="2210"/>
      <c r="M537" s="2214"/>
      <c r="T537" s="2215"/>
      <c r="AT537" s="2211" t="s">
        <v>3303</v>
      </c>
      <c r="AU537" s="2211" t="s">
        <v>134</v>
      </c>
      <c r="AV537" s="2209" t="s">
        <v>134</v>
      </c>
      <c r="AW537" s="2209" t="s">
        <v>3171</v>
      </c>
      <c r="AX537" s="2209" t="s">
        <v>3213</v>
      </c>
      <c r="AY537" s="2211" t="s">
        <v>3285</v>
      </c>
    </row>
    <row r="538" spans="2:65" s="2209" customFormat="1">
      <c r="B538" s="2210"/>
      <c r="D538" s="2197" t="s">
        <v>3303</v>
      </c>
      <c r="E538" s="2211" t="s">
        <v>3146</v>
      </c>
      <c r="F538" s="2212" t="s">
        <v>3663</v>
      </c>
      <c r="H538" s="2213">
        <v>141.54</v>
      </c>
      <c r="L538" s="2210"/>
      <c r="M538" s="2214"/>
      <c r="T538" s="2215"/>
      <c r="AT538" s="2211" t="s">
        <v>3303</v>
      </c>
      <c r="AU538" s="2211" t="s">
        <v>134</v>
      </c>
      <c r="AV538" s="2209" t="s">
        <v>134</v>
      </c>
      <c r="AW538" s="2209" t="s">
        <v>3171</v>
      </c>
      <c r="AX538" s="2209" t="s">
        <v>3213</v>
      </c>
      <c r="AY538" s="2211" t="s">
        <v>3285</v>
      </c>
    </row>
    <row r="539" spans="2:65" s="2195" customFormat="1">
      <c r="B539" s="2196"/>
      <c r="D539" s="2197" t="s">
        <v>3303</v>
      </c>
      <c r="E539" s="2198" t="s">
        <v>3146</v>
      </c>
      <c r="F539" s="2199" t="s">
        <v>3578</v>
      </c>
      <c r="H539" s="2198" t="s">
        <v>3146</v>
      </c>
      <c r="L539" s="2196"/>
      <c r="M539" s="2200"/>
      <c r="T539" s="2201"/>
      <c r="AT539" s="2198" t="s">
        <v>3303</v>
      </c>
      <c r="AU539" s="2198" t="s">
        <v>134</v>
      </c>
      <c r="AV539" s="2195" t="s">
        <v>133</v>
      </c>
      <c r="AW539" s="2195" t="s">
        <v>3171</v>
      </c>
      <c r="AX539" s="2195" t="s">
        <v>3213</v>
      </c>
      <c r="AY539" s="2198" t="s">
        <v>3285</v>
      </c>
    </row>
    <row r="540" spans="2:65" s="2209" customFormat="1">
      <c r="B540" s="2210"/>
      <c r="D540" s="2197" t="s">
        <v>3303</v>
      </c>
      <c r="E540" s="2211" t="s">
        <v>3146</v>
      </c>
      <c r="F540" s="2212" t="s">
        <v>3664</v>
      </c>
      <c r="H540" s="2213">
        <v>835.88699999999994</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3580</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3665</v>
      </c>
      <c r="H542" s="2213">
        <v>870.79200000000003</v>
      </c>
      <c r="L542" s="2210"/>
      <c r="M542" s="2214"/>
      <c r="T542" s="2215"/>
      <c r="AT542" s="2211" t="s">
        <v>3303</v>
      </c>
      <c r="AU542" s="2211" t="s">
        <v>134</v>
      </c>
      <c r="AV542" s="2209" t="s">
        <v>134</v>
      </c>
      <c r="AW542" s="2209" t="s">
        <v>3171</v>
      </c>
      <c r="AX542" s="2209" t="s">
        <v>3213</v>
      </c>
      <c r="AY542" s="2211" t="s">
        <v>3285</v>
      </c>
    </row>
    <row r="543" spans="2:65" s="2216" customFormat="1">
      <c r="B543" s="2217"/>
      <c r="D543" s="2197" t="s">
        <v>3303</v>
      </c>
      <c r="E543" s="2218" t="s">
        <v>3146</v>
      </c>
      <c r="F543" s="2219" t="s">
        <v>3306</v>
      </c>
      <c r="H543" s="2220">
        <v>2913.7739999999999</v>
      </c>
      <c r="L543" s="2217"/>
      <c r="M543" s="2221"/>
      <c r="T543" s="2222"/>
      <c r="AT543" s="2218" t="s">
        <v>3303</v>
      </c>
      <c r="AU543" s="2218" t="s">
        <v>134</v>
      </c>
      <c r="AV543" s="2216" t="s">
        <v>856</v>
      </c>
      <c r="AW543" s="2216" t="s">
        <v>3171</v>
      </c>
      <c r="AX543" s="2216" t="s">
        <v>133</v>
      </c>
      <c r="AY543" s="2218" t="s">
        <v>3285</v>
      </c>
    </row>
    <row r="544" spans="2:65" s="2070" customFormat="1" ht="24.2" customHeight="1">
      <c r="B544" s="2164"/>
      <c r="C544" s="4608">
        <v>97</v>
      </c>
      <c r="D544" s="4608" t="s">
        <v>3286</v>
      </c>
      <c r="E544" s="4609" t="s">
        <v>10776</v>
      </c>
      <c r="F544" s="4610" t="s">
        <v>10777</v>
      </c>
      <c r="G544" s="4611" t="s">
        <v>611</v>
      </c>
      <c r="H544" s="4612">
        <v>2772.2339999999999</v>
      </c>
      <c r="I544" s="4613"/>
      <c r="J544" s="4613">
        <f>ROUND(I544*H544,2)</f>
        <v>0</v>
      </c>
      <c r="K544" s="4610" t="s">
        <v>142</v>
      </c>
      <c r="L544" s="2071"/>
      <c r="M544" s="2190" t="s">
        <v>3146</v>
      </c>
      <c r="N544" s="2163" t="s">
        <v>3181</v>
      </c>
      <c r="O544" s="2191">
        <v>0.52</v>
      </c>
      <c r="P544" s="2191">
        <f>O544*H544</f>
        <v>1441.56168</v>
      </c>
      <c r="Q544" s="2191">
        <v>6.3E-3</v>
      </c>
      <c r="R544" s="2191">
        <f>Q544*H544</f>
        <v>17.4650742</v>
      </c>
      <c r="S544" s="2191">
        <v>0</v>
      </c>
      <c r="T544" s="2192">
        <f>S544*H544</f>
        <v>0</v>
      </c>
      <c r="AR544" s="2193" t="s">
        <v>856</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856</v>
      </c>
      <c r="BM544" s="2193" t="s">
        <v>10778</v>
      </c>
    </row>
    <row r="545" spans="2:65" s="2070" customFormat="1" ht="24.2" customHeight="1">
      <c r="B545" s="2164"/>
      <c r="C545" s="4608">
        <v>98</v>
      </c>
      <c r="D545" s="4608" t="s">
        <v>3286</v>
      </c>
      <c r="E545" s="4609" t="s">
        <v>3666</v>
      </c>
      <c r="F545" s="4610" t="s">
        <v>3667</v>
      </c>
      <c r="G545" s="4611" t="s">
        <v>611</v>
      </c>
      <c r="H545" s="4612">
        <v>2913.7739999999999</v>
      </c>
      <c r="I545" s="4613"/>
      <c r="J545" s="4613">
        <f>ROUND(I545*H545,2)</f>
        <v>0</v>
      </c>
      <c r="K545" s="4610" t="s">
        <v>142</v>
      </c>
      <c r="L545" s="2071"/>
      <c r="M545" s="2190" t="s">
        <v>3146</v>
      </c>
      <c r="N545" s="2163" t="s">
        <v>3181</v>
      </c>
      <c r="O545" s="2191">
        <v>0.14799999999999999</v>
      </c>
      <c r="P545" s="2191">
        <f>O545*H545</f>
        <v>431.23855199999997</v>
      </c>
      <c r="Q545" s="2191">
        <v>2.5999999999999998E-4</v>
      </c>
      <c r="R545" s="2191">
        <f>Q545*H545</f>
        <v>0.75758123999999993</v>
      </c>
      <c r="S545" s="2191">
        <v>0</v>
      </c>
      <c r="T545" s="2192">
        <f>S545*H545</f>
        <v>0</v>
      </c>
      <c r="AR545" s="2193" t="s">
        <v>856</v>
      </c>
      <c r="AT545" s="2193" t="s">
        <v>3286</v>
      </c>
      <c r="AU545" s="2193" t="s">
        <v>134</v>
      </c>
      <c r="AY545" s="2056" t="s">
        <v>3285</v>
      </c>
      <c r="BE545" s="2194">
        <f>IF(N545="základní",J545,0)</f>
        <v>0</v>
      </c>
      <c r="BF545" s="2194">
        <f>IF(N545="snížená",J545,0)</f>
        <v>0</v>
      </c>
      <c r="BG545" s="2194">
        <f>IF(N545="zákl. přenesená",J545,0)</f>
        <v>0</v>
      </c>
      <c r="BH545" s="2194">
        <f>IF(N545="sníž. přenesená",J545,0)</f>
        <v>0</v>
      </c>
      <c r="BI545" s="2194">
        <f>IF(N545="nulová",J545,0)</f>
        <v>0</v>
      </c>
      <c r="BJ545" s="2056" t="s">
        <v>134</v>
      </c>
      <c r="BK545" s="2194">
        <f>ROUND(I545*H545,2)</f>
        <v>0</v>
      </c>
      <c r="BL545" s="2056" t="s">
        <v>856</v>
      </c>
      <c r="BM545" s="2193" t="s">
        <v>3668</v>
      </c>
    </row>
    <row r="546" spans="2:65" s="2070" customFormat="1" ht="21.75" customHeight="1">
      <c r="B546" s="2164"/>
      <c r="C546" s="4608">
        <v>99</v>
      </c>
      <c r="D546" s="4608" t="s">
        <v>3286</v>
      </c>
      <c r="E546" s="4609" t="s">
        <v>3669</v>
      </c>
      <c r="F546" s="4610" t="s">
        <v>3670</v>
      </c>
      <c r="G546" s="4611" t="s">
        <v>611</v>
      </c>
      <c r="H546" s="4612">
        <v>141.54</v>
      </c>
      <c r="I546" s="4613"/>
      <c r="J546" s="4613">
        <f>ROUND(I546*H546,2)</f>
        <v>0</v>
      </c>
      <c r="K546" s="4610" t="s">
        <v>142</v>
      </c>
      <c r="L546" s="2071"/>
      <c r="M546" s="2190" t="s">
        <v>3146</v>
      </c>
      <c r="N546" s="2163" t="s">
        <v>3181</v>
      </c>
      <c r="O546" s="2191">
        <v>0.34399999999999997</v>
      </c>
      <c r="P546" s="2191">
        <f>O546*H546</f>
        <v>48.689759999999993</v>
      </c>
      <c r="Q546" s="2191">
        <v>3.9100000000000003E-3</v>
      </c>
      <c r="R546" s="2191">
        <f>Q546*H546</f>
        <v>0.55342140000000006</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3671</v>
      </c>
    </row>
    <row r="547" spans="2:65" s="2195" customFormat="1">
      <c r="B547" s="2196"/>
      <c r="D547" s="2197" t="s">
        <v>3303</v>
      </c>
      <c r="E547" s="2198" t="s">
        <v>3146</v>
      </c>
      <c r="F547" s="2199" t="s">
        <v>3661</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3663</v>
      </c>
      <c r="H548" s="2213">
        <v>141.54</v>
      </c>
      <c r="L548" s="2210"/>
      <c r="M548" s="2214"/>
      <c r="T548" s="2215"/>
      <c r="AT548" s="2211" t="s">
        <v>3303</v>
      </c>
      <c r="AU548" s="2211" t="s">
        <v>134</v>
      </c>
      <c r="AV548" s="2209" t="s">
        <v>134</v>
      </c>
      <c r="AW548" s="2209" t="s">
        <v>3171</v>
      </c>
      <c r="AX548" s="2209" t="s">
        <v>3213</v>
      </c>
      <c r="AY548" s="2211" t="s">
        <v>3285</v>
      </c>
    </row>
    <row r="549" spans="2:65" s="2216" customFormat="1">
      <c r="B549" s="2217"/>
      <c r="D549" s="2197" t="s">
        <v>3303</v>
      </c>
      <c r="E549" s="2218" t="s">
        <v>3146</v>
      </c>
      <c r="F549" s="2219" t="s">
        <v>3306</v>
      </c>
      <c r="H549" s="2220">
        <v>141.54</v>
      </c>
      <c r="L549" s="2217"/>
      <c r="M549" s="2221"/>
      <c r="T549" s="2222"/>
      <c r="AT549" s="2218" t="s">
        <v>3303</v>
      </c>
      <c r="AU549" s="2218" t="s">
        <v>134</v>
      </c>
      <c r="AV549" s="2216" t="s">
        <v>856</v>
      </c>
      <c r="AW549" s="2216" t="s">
        <v>3171</v>
      </c>
      <c r="AX549" s="2216" t="s">
        <v>133</v>
      </c>
      <c r="AY549" s="2218" t="s">
        <v>3285</v>
      </c>
    </row>
    <row r="550" spans="2:65" s="2070" customFormat="1" ht="24.2" customHeight="1">
      <c r="B550" s="2164"/>
      <c r="C550" s="4608">
        <v>100</v>
      </c>
      <c r="D550" s="4608" t="s">
        <v>3286</v>
      </c>
      <c r="E550" s="4609" t="s">
        <v>3672</v>
      </c>
      <c r="F550" s="4610" t="s">
        <v>3673</v>
      </c>
      <c r="G550" s="4611" t="s">
        <v>611</v>
      </c>
      <c r="H550" s="4612">
        <v>283.08</v>
      </c>
      <c r="I550" s="4613"/>
      <c r="J550" s="4613">
        <f>ROUND(I550*H550,2)</f>
        <v>0</v>
      </c>
      <c r="K550" s="4610" t="s">
        <v>142</v>
      </c>
      <c r="L550" s="2071"/>
      <c r="M550" s="2190" t="s">
        <v>3146</v>
      </c>
      <c r="N550" s="2163" t="s">
        <v>3181</v>
      </c>
      <c r="O550" s="2191">
        <v>4.2999999999999997E-2</v>
      </c>
      <c r="P550" s="2191">
        <f>O550*H550</f>
        <v>12.172439999999998</v>
      </c>
      <c r="Q550" s="2191">
        <v>1.2999999999999999E-3</v>
      </c>
      <c r="R550" s="2191">
        <f>Q550*H550</f>
        <v>0.36800399999999994</v>
      </c>
      <c r="S550" s="2191">
        <v>0</v>
      </c>
      <c r="T550" s="2192">
        <f>S550*H550</f>
        <v>0</v>
      </c>
      <c r="AR550" s="2193" t="s">
        <v>856</v>
      </c>
      <c r="AT550" s="2193" t="s">
        <v>3286</v>
      </c>
      <c r="AU550" s="2193" t="s">
        <v>134</v>
      </c>
      <c r="AY550" s="2056" t="s">
        <v>3285</v>
      </c>
      <c r="BE550" s="2194">
        <f>IF(N550="základní",J550,0)</f>
        <v>0</v>
      </c>
      <c r="BF550" s="2194">
        <f>IF(N550="snížená",J550,0)</f>
        <v>0</v>
      </c>
      <c r="BG550" s="2194">
        <f>IF(N550="zákl. přenesená",J550,0)</f>
        <v>0</v>
      </c>
      <c r="BH550" s="2194">
        <f>IF(N550="sníž. přenesená",J550,0)</f>
        <v>0</v>
      </c>
      <c r="BI550" s="2194">
        <f>IF(N550="nulová",J550,0)</f>
        <v>0</v>
      </c>
      <c r="BJ550" s="2056" t="s">
        <v>134</v>
      </c>
      <c r="BK550" s="2194">
        <f>ROUND(I550*H550,2)</f>
        <v>0</v>
      </c>
      <c r="BL550" s="2056" t="s">
        <v>856</v>
      </c>
      <c r="BM550" s="2193" t="s">
        <v>3674</v>
      </c>
    </row>
    <row r="551" spans="2:65" s="2209" customFormat="1">
      <c r="B551" s="2210"/>
      <c r="D551" s="2197" t="s">
        <v>3303</v>
      </c>
      <c r="F551" s="2212" t="s">
        <v>3675</v>
      </c>
      <c r="H551" s="2213">
        <v>283.08</v>
      </c>
      <c r="L551" s="2210"/>
      <c r="M551" s="2214"/>
      <c r="T551" s="2215"/>
      <c r="AT551" s="2211" t="s">
        <v>3303</v>
      </c>
      <c r="AU551" s="2211" t="s">
        <v>134</v>
      </c>
      <c r="AV551" s="2209" t="s">
        <v>134</v>
      </c>
      <c r="AW551" s="2209" t="s">
        <v>3148</v>
      </c>
      <c r="AX551" s="2209" t="s">
        <v>133</v>
      </c>
      <c r="AY551" s="2211" t="s">
        <v>3285</v>
      </c>
    </row>
    <row r="552" spans="2:65" s="2070" customFormat="1" ht="33" customHeight="1">
      <c r="B552" s="2164"/>
      <c r="C552" s="4608">
        <v>101</v>
      </c>
      <c r="D552" s="4608" t="s">
        <v>3286</v>
      </c>
      <c r="E552" s="4609" t="s">
        <v>3676</v>
      </c>
      <c r="F552" s="4610" t="s">
        <v>3677</v>
      </c>
      <c r="G552" s="4611" t="s">
        <v>611</v>
      </c>
      <c r="H552" s="4612">
        <v>2772.2339999999999</v>
      </c>
      <c r="I552" s="4613"/>
      <c r="J552" s="4613">
        <f>ROUND(I552*H552,2)</f>
        <v>0</v>
      </c>
      <c r="K552" s="4610" t="s">
        <v>142</v>
      </c>
      <c r="L552" s="2071"/>
      <c r="M552" s="2190" t="s">
        <v>3146</v>
      </c>
      <c r="N552" s="2163" t="s">
        <v>3181</v>
      </c>
      <c r="O552" s="2191">
        <v>0.42</v>
      </c>
      <c r="P552" s="2191">
        <f>O552*H552</f>
        <v>1164.3382799999999</v>
      </c>
      <c r="Q552" s="2191">
        <v>1.103E-2</v>
      </c>
      <c r="R552" s="2191">
        <f>Q552*H552</f>
        <v>30.577741019999998</v>
      </c>
      <c r="S552" s="2191">
        <v>0</v>
      </c>
      <c r="T552" s="2192">
        <f>S552*H552</f>
        <v>0</v>
      </c>
      <c r="AR552" s="2193" t="s">
        <v>856</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856</v>
      </c>
      <c r="BM552" s="2193" t="s">
        <v>3678</v>
      </c>
    </row>
    <row r="553" spans="2:65" s="2070" customFormat="1" ht="24.2" customHeight="1">
      <c r="B553" s="2164"/>
      <c r="C553" s="4608">
        <v>102</v>
      </c>
      <c r="D553" s="4608" t="s">
        <v>3286</v>
      </c>
      <c r="E553" s="4609" t="s">
        <v>3679</v>
      </c>
      <c r="F553" s="4610" t="s">
        <v>3680</v>
      </c>
      <c r="G553" s="4611" t="s">
        <v>611</v>
      </c>
      <c r="H553" s="4612">
        <v>2772.2339999999999</v>
      </c>
      <c r="I553" s="4613"/>
      <c r="J553" s="4613">
        <f>ROUND(I553*H553,2)</f>
        <v>0</v>
      </c>
      <c r="K553" s="4610" t="s">
        <v>142</v>
      </c>
      <c r="L553" s="2071"/>
      <c r="M553" s="2190" t="s">
        <v>3146</v>
      </c>
      <c r="N553" s="2163" t="s">
        <v>3181</v>
      </c>
      <c r="O553" s="2191">
        <v>7.0000000000000007E-2</v>
      </c>
      <c r="P553" s="2191">
        <f>O553*H553</f>
        <v>194.05638000000002</v>
      </c>
      <c r="Q553" s="2191">
        <v>5.5199999999999997E-3</v>
      </c>
      <c r="R553" s="2191">
        <f>Q553*H553</f>
        <v>15.302731679999999</v>
      </c>
      <c r="S553" s="2191">
        <v>0</v>
      </c>
      <c r="T553" s="2192">
        <f>S553*H553</f>
        <v>0</v>
      </c>
      <c r="AR553" s="2193" t="s">
        <v>856</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856</v>
      </c>
      <c r="BM553" s="2193" t="s">
        <v>3681</v>
      </c>
    </row>
    <row r="554" spans="2:65" s="2070" customFormat="1" ht="24.2" customHeight="1">
      <c r="B554" s="2164"/>
      <c r="C554" s="4608">
        <v>103</v>
      </c>
      <c r="D554" s="4608" t="s">
        <v>3286</v>
      </c>
      <c r="E554" s="4609" t="s">
        <v>3682</v>
      </c>
      <c r="F554" s="4610" t="s">
        <v>3683</v>
      </c>
      <c r="G554" s="4611" t="s">
        <v>611</v>
      </c>
      <c r="H554" s="4612">
        <v>5787.393</v>
      </c>
      <c r="I554" s="4613"/>
      <c r="J554" s="4613">
        <f>ROUND(I554*H554,2)</f>
        <v>0</v>
      </c>
      <c r="K554" s="4610" t="s">
        <v>142</v>
      </c>
      <c r="L554" s="2071"/>
      <c r="M554" s="2190" t="s">
        <v>3146</v>
      </c>
      <c r="N554" s="2163" t="s">
        <v>3181</v>
      </c>
      <c r="O554" s="2191">
        <v>5.3999999999999999E-2</v>
      </c>
      <c r="P554" s="2191">
        <f>O554*H554</f>
        <v>312.51922200000001</v>
      </c>
      <c r="Q554" s="2191">
        <v>0</v>
      </c>
      <c r="R554" s="2191">
        <f>Q554*H554</f>
        <v>0</v>
      </c>
      <c r="S554" s="2191">
        <v>0</v>
      </c>
      <c r="T554" s="2192">
        <f>S554*H554</f>
        <v>0</v>
      </c>
      <c r="W554" s="2243"/>
      <c r="AR554" s="2193" t="s">
        <v>856</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856</v>
      </c>
      <c r="BM554" s="2193" t="s">
        <v>3684</v>
      </c>
    </row>
    <row r="555" spans="2:65" s="2195" customFormat="1">
      <c r="B555" s="2196"/>
      <c r="D555" s="2197" t="s">
        <v>3303</v>
      </c>
      <c r="E555" s="2198" t="s">
        <v>3146</v>
      </c>
      <c r="F555" s="2199" t="s">
        <v>3569</v>
      </c>
      <c r="H555" s="2198" t="s">
        <v>3146</v>
      </c>
      <c r="L555" s="2196"/>
      <c r="M555" s="2200"/>
      <c r="T555" s="2201"/>
      <c r="AT555" s="2198" t="s">
        <v>3303</v>
      </c>
      <c r="AU555" s="2198" t="s">
        <v>134</v>
      </c>
      <c r="AV555" s="2195" t="s">
        <v>133</v>
      </c>
      <c r="AW555" s="2195" t="s">
        <v>3171</v>
      </c>
      <c r="AX555" s="2195" t="s">
        <v>3213</v>
      </c>
      <c r="AY555" s="2198" t="s">
        <v>3285</v>
      </c>
    </row>
    <row r="556" spans="2:65" s="2209" customFormat="1">
      <c r="B556" s="2210"/>
      <c r="D556" s="2197" t="s">
        <v>3303</v>
      </c>
      <c r="E556" s="2211" t="s">
        <v>3146</v>
      </c>
      <c r="F556" s="2212" t="s">
        <v>3685</v>
      </c>
      <c r="H556" s="2213">
        <v>1328.223</v>
      </c>
      <c r="L556" s="2210"/>
      <c r="M556" s="2214"/>
      <c r="T556" s="2215"/>
      <c r="AT556" s="2211" t="s">
        <v>3303</v>
      </c>
      <c r="AU556" s="2211" t="s">
        <v>134</v>
      </c>
      <c r="AV556" s="2209" t="s">
        <v>134</v>
      </c>
      <c r="AW556" s="2209" t="s">
        <v>3171</v>
      </c>
      <c r="AX556" s="2209" t="s">
        <v>3213</v>
      </c>
      <c r="AY556" s="2211" t="s">
        <v>3285</v>
      </c>
    </row>
    <row r="557" spans="2:65" s="2195" customFormat="1">
      <c r="B557" s="2196"/>
      <c r="D557" s="2197" t="s">
        <v>3303</v>
      </c>
      <c r="E557" s="2198" t="s">
        <v>3146</v>
      </c>
      <c r="F557" s="2199" t="s">
        <v>3661</v>
      </c>
      <c r="H557" s="2198" t="s">
        <v>3146</v>
      </c>
      <c r="L557" s="2196"/>
      <c r="M557" s="2200"/>
      <c r="T557" s="2201"/>
      <c r="AT557" s="2198" t="s">
        <v>3303</v>
      </c>
      <c r="AU557" s="2198" t="s">
        <v>134</v>
      </c>
      <c r="AV557" s="2195" t="s">
        <v>133</v>
      </c>
      <c r="AW557" s="2195" t="s">
        <v>3171</v>
      </c>
      <c r="AX557" s="2195" t="s">
        <v>3213</v>
      </c>
      <c r="AY557" s="2198" t="s">
        <v>3285</v>
      </c>
    </row>
    <row r="558" spans="2:65" s="2209" customFormat="1">
      <c r="B558" s="2210"/>
      <c r="D558" s="2197" t="s">
        <v>3303</v>
      </c>
      <c r="E558" s="2211" t="s">
        <v>3146</v>
      </c>
      <c r="F558" s="2212" t="s">
        <v>3686</v>
      </c>
      <c r="H558" s="2213">
        <v>778.37099999999998</v>
      </c>
      <c r="L558" s="2210"/>
      <c r="M558" s="2214"/>
      <c r="T558" s="2215"/>
      <c r="AT558" s="2211" t="s">
        <v>3303</v>
      </c>
      <c r="AU558" s="2211" t="s">
        <v>134</v>
      </c>
      <c r="AV558" s="2209" t="s">
        <v>134</v>
      </c>
      <c r="AW558" s="2209" t="s">
        <v>3171</v>
      </c>
      <c r="AX558" s="2209" t="s">
        <v>3213</v>
      </c>
      <c r="AY558" s="2211" t="s">
        <v>3285</v>
      </c>
    </row>
    <row r="559" spans="2:65" s="2195" customFormat="1">
      <c r="B559" s="2196"/>
      <c r="D559" s="2197" t="s">
        <v>3303</v>
      </c>
      <c r="E559" s="2198" t="s">
        <v>3146</v>
      </c>
      <c r="F559" s="2199" t="s">
        <v>3578</v>
      </c>
      <c r="H559" s="2198" t="s">
        <v>3146</v>
      </c>
      <c r="L559" s="2196"/>
      <c r="M559" s="2200"/>
      <c r="T559" s="2201"/>
      <c r="AT559" s="2198" t="s">
        <v>3303</v>
      </c>
      <c r="AU559" s="2198" t="s">
        <v>134</v>
      </c>
      <c r="AV559" s="2195" t="s">
        <v>133</v>
      </c>
      <c r="AW559" s="2195" t="s">
        <v>3171</v>
      </c>
      <c r="AX559" s="2195" t="s">
        <v>3213</v>
      </c>
      <c r="AY559" s="2198" t="s">
        <v>3285</v>
      </c>
    </row>
    <row r="560" spans="2:65" s="2209" customFormat="1">
      <c r="B560" s="2210"/>
      <c r="D560" s="2197" t="s">
        <v>3303</v>
      </c>
      <c r="E560" s="2211" t="s">
        <v>3146</v>
      </c>
      <c r="F560" s="2212" t="s">
        <v>3687</v>
      </c>
      <c r="H560" s="2213">
        <v>901.73800000000006</v>
      </c>
      <c r="L560" s="2210"/>
      <c r="M560" s="2214"/>
      <c r="T560" s="2215"/>
      <c r="AT560" s="2211" t="s">
        <v>3303</v>
      </c>
      <c r="AU560" s="2211" t="s">
        <v>134</v>
      </c>
      <c r="AV560" s="2209" t="s">
        <v>134</v>
      </c>
      <c r="AW560" s="2209" t="s">
        <v>3171</v>
      </c>
      <c r="AX560" s="2209" t="s">
        <v>3213</v>
      </c>
      <c r="AY560" s="2211" t="s">
        <v>3285</v>
      </c>
    </row>
    <row r="561" spans="2:65" s="2195" customFormat="1">
      <c r="B561" s="2196"/>
      <c r="D561" s="2197" t="s">
        <v>3303</v>
      </c>
      <c r="E561" s="2198" t="s">
        <v>3146</v>
      </c>
      <c r="F561" s="2199" t="s">
        <v>3580</v>
      </c>
      <c r="H561" s="2198" t="s">
        <v>3146</v>
      </c>
      <c r="L561" s="2196"/>
      <c r="M561" s="2200"/>
      <c r="T561" s="2201"/>
      <c r="AT561" s="2198" t="s">
        <v>3303</v>
      </c>
      <c r="AU561" s="2198" t="s">
        <v>134</v>
      </c>
      <c r="AV561" s="2195" t="s">
        <v>133</v>
      </c>
      <c r="AW561" s="2195" t="s">
        <v>3171</v>
      </c>
      <c r="AX561" s="2195" t="s">
        <v>3213</v>
      </c>
      <c r="AY561" s="2198" t="s">
        <v>3285</v>
      </c>
    </row>
    <row r="562" spans="2:65" s="2209" customFormat="1">
      <c r="B562" s="2210"/>
      <c r="D562" s="2197" t="s">
        <v>3303</v>
      </c>
      <c r="E562" s="2211" t="s">
        <v>3146</v>
      </c>
      <c r="F562" s="2212" t="s">
        <v>3688</v>
      </c>
      <c r="H562" s="2213">
        <v>867.47299999999996</v>
      </c>
      <c r="L562" s="2210"/>
      <c r="M562" s="2214"/>
      <c r="T562" s="2215"/>
      <c r="AT562" s="2211" t="s">
        <v>3303</v>
      </c>
      <c r="AU562" s="2211" t="s">
        <v>134</v>
      </c>
      <c r="AV562" s="2209" t="s">
        <v>134</v>
      </c>
      <c r="AW562" s="2209" t="s">
        <v>3171</v>
      </c>
      <c r="AX562" s="2209" t="s">
        <v>3213</v>
      </c>
      <c r="AY562" s="2211" t="s">
        <v>3285</v>
      </c>
    </row>
    <row r="563" spans="2:65" s="2202" customFormat="1">
      <c r="B563" s="2203"/>
      <c r="D563" s="2197" t="s">
        <v>3303</v>
      </c>
      <c r="E563" s="2204" t="s">
        <v>3146</v>
      </c>
      <c r="F563" s="2205" t="s">
        <v>3305</v>
      </c>
      <c r="H563" s="2206">
        <v>3875.8049999999998</v>
      </c>
      <c r="L563" s="2203"/>
      <c r="M563" s="2207"/>
      <c r="T563" s="2208"/>
      <c r="AT563" s="2204" t="s">
        <v>3303</v>
      </c>
      <c r="AU563" s="2204" t="s">
        <v>134</v>
      </c>
      <c r="AV563" s="2202" t="s">
        <v>854</v>
      </c>
      <c r="AW563" s="2202" t="s">
        <v>3171</v>
      </c>
      <c r="AX563" s="2202" t="s">
        <v>3213</v>
      </c>
      <c r="AY563" s="2204" t="s">
        <v>3285</v>
      </c>
    </row>
    <row r="564" spans="2:65" s="2209" customFormat="1">
      <c r="B564" s="2210"/>
      <c r="D564" s="2197" t="s">
        <v>3303</v>
      </c>
      <c r="E564" s="2211" t="s">
        <v>3146</v>
      </c>
      <c r="F564" s="2212" t="s">
        <v>10779</v>
      </c>
      <c r="H564" s="2213">
        <v>1330.4010000000001</v>
      </c>
      <c r="L564" s="2210"/>
      <c r="M564" s="2214"/>
      <c r="T564" s="2215"/>
      <c r="AT564" s="2211" t="s">
        <v>3303</v>
      </c>
      <c r="AU564" s="2211" t="s">
        <v>134</v>
      </c>
      <c r="AV564" s="2209" t="s">
        <v>134</v>
      </c>
      <c r="AW564" s="2209" t="s">
        <v>3171</v>
      </c>
      <c r="AX564" s="2209" t="s">
        <v>3213</v>
      </c>
      <c r="AY564" s="2211" t="s">
        <v>3285</v>
      </c>
    </row>
    <row r="565" spans="2:65" s="2209" customFormat="1">
      <c r="B565" s="2210"/>
      <c r="D565" s="2197" t="s">
        <v>3303</v>
      </c>
      <c r="E565" s="2211" t="s">
        <v>3146</v>
      </c>
      <c r="F565" s="2212" t="s">
        <v>10780</v>
      </c>
      <c r="H565" s="2213">
        <v>265.5</v>
      </c>
      <c r="L565" s="2210"/>
      <c r="M565" s="2214"/>
      <c r="T565" s="2215"/>
      <c r="AT565" s="2211" t="s">
        <v>3303</v>
      </c>
      <c r="AU565" s="2211" t="s">
        <v>134</v>
      </c>
      <c r="AV565" s="2209" t="s">
        <v>134</v>
      </c>
      <c r="AW565" s="2209" t="s">
        <v>3171</v>
      </c>
      <c r="AX565" s="2209" t="s">
        <v>3213</v>
      </c>
      <c r="AY565" s="2211" t="s">
        <v>3285</v>
      </c>
    </row>
    <row r="566" spans="2:65" s="2209" customFormat="1">
      <c r="B566" s="2210"/>
      <c r="D566" s="2197" t="s">
        <v>3303</v>
      </c>
      <c r="E566" s="2211" t="s">
        <v>3146</v>
      </c>
      <c r="F566" s="2212" t="s">
        <v>10781</v>
      </c>
      <c r="H566" s="2213">
        <v>315.68700000000001</v>
      </c>
      <c r="L566" s="2210"/>
      <c r="M566" s="2214"/>
      <c r="T566" s="2215"/>
      <c r="AT566" s="2211" t="s">
        <v>3303</v>
      </c>
      <c r="AU566" s="2211" t="s">
        <v>134</v>
      </c>
      <c r="AV566" s="2209" t="s">
        <v>134</v>
      </c>
      <c r="AW566" s="2209" t="s">
        <v>3171</v>
      </c>
      <c r="AX566" s="2209" t="s">
        <v>3213</v>
      </c>
      <c r="AY566" s="2211" t="s">
        <v>3285</v>
      </c>
    </row>
    <row r="567" spans="2:65" s="2202" customFormat="1">
      <c r="B567" s="2203"/>
      <c r="D567" s="2197" t="s">
        <v>3303</v>
      </c>
      <c r="E567" s="2204" t="s">
        <v>3146</v>
      </c>
      <c r="F567" s="2205" t="s">
        <v>3305</v>
      </c>
      <c r="H567" s="2206">
        <v>1911.588</v>
      </c>
      <c r="L567" s="2203"/>
      <c r="M567" s="2207"/>
      <c r="T567" s="2208"/>
      <c r="AT567" s="2204" t="s">
        <v>3303</v>
      </c>
      <c r="AU567" s="2204" t="s">
        <v>134</v>
      </c>
      <c r="AV567" s="2202" t="s">
        <v>854</v>
      </c>
      <c r="AW567" s="2202" t="s">
        <v>3171</v>
      </c>
      <c r="AX567" s="2202" t="s">
        <v>3213</v>
      </c>
      <c r="AY567" s="2204" t="s">
        <v>3285</v>
      </c>
    </row>
    <row r="568" spans="2:65" s="2216" customFormat="1">
      <c r="B568" s="2217"/>
      <c r="D568" s="2197" t="s">
        <v>3303</v>
      </c>
      <c r="E568" s="2218" t="s">
        <v>3146</v>
      </c>
      <c r="F568" s="2219" t="s">
        <v>3306</v>
      </c>
      <c r="H568" s="2220">
        <v>5787.393</v>
      </c>
      <c r="L568" s="2217"/>
      <c r="M568" s="2221"/>
      <c r="T568" s="2222"/>
      <c r="AT568" s="2218" t="s">
        <v>3303</v>
      </c>
      <c r="AU568" s="2218" t="s">
        <v>134</v>
      </c>
      <c r="AV568" s="2216" t="s">
        <v>856</v>
      </c>
      <c r="AW568" s="2216" t="s">
        <v>3171</v>
      </c>
      <c r="AX568" s="2216" t="s">
        <v>133</v>
      </c>
      <c r="AY568" s="2218" t="s">
        <v>3285</v>
      </c>
    </row>
    <row r="569" spans="2:65" s="2070" customFormat="1" ht="24.2" customHeight="1">
      <c r="B569" s="2164"/>
      <c r="C569" s="4608">
        <v>104</v>
      </c>
      <c r="D569" s="4608" t="s">
        <v>3286</v>
      </c>
      <c r="E569" s="4609" t="s">
        <v>10782</v>
      </c>
      <c r="F569" s="4610" t="s">
        <v>10783</v>
      </c>
      <c r="G569" s="4611" t="s">
        <v>611</v>
      </c>
      <c r="H569" s="4612">
        <v>5177.2060000000001</v>
      </c>
      <c r="I569" s="4613"/>
      <c r="J569" s="4613">
        <f>ROUND(I569*H569,2)</f>
        <v>0</v>
      </c>
      <c r="K569" s="4610" t="s">
        <v>142</v>
      </c>
      <c r="L569" s="2071"/>
      <c r="M569" s="2190" t="s">
        <v>3146</v>
      </c>
      <c r="N569" s="2163" t="s">
        <v>3181</v>
      </c>
      <c r="O569" s="2191">
        <v>0.4</v>
      </c>
      <c r="P569" s="2191">
        <f>O569*H569</f>
        <v>2070.8824</v>
      </c>
      <c r="Q569" s="2191">
        <v>6.3E-3</v>
      </c>
      <c r="R569" s="2191">
        <f>Q569*H569</f>
        <v>32.616397800000001</v>
      </c>
      <c r="S569" s="2191">
        <v>0</v>
      </c>
      <c r="T569" s="2192">
        <f>S569*H569</f>
        <v>0</v>
      </c>
      <c r="AR569" s="2193" t="s">
        <v>856</v>
      </c>
      <c r="AT569" s="2193" t="s">
        <v>3286</v>
      </c>
      <c r="AU569" s="2193" t="s">
        <v>134</v>
      </c>
      <c r="AY569" s="2056" t="s">
        <v>3285</v>
      </c>
      <c r="BE569" s="2194">
        <f>IF(N569="základní",J569,0)</f>
        <v>0</v>
      </c>
      <c r="BF569" s="2194">
        <f>IF(N569="snížená",J569,0)</f>
        <v>0</v>
      </c>
      <c r="BG569" s="2194">
        <f>IF(N569="zákl. přenesená",J569,0)</f>
        <v>0</v>
      </c>
      <c r="BH569" s="2194">
        <f>IF(N569="sníž. přenesená",J569,0)</f>
        <v>0</v>
      </c>
      <c r="BI569" s="2194">
        <f>IF(N569="nulová",J569,0)</f>
        <v>0</v>
      </c>
      <c r="BJ569" s="2056" t="s">
        <v>134</v>
      </c>
      <c r="BK569" s="2194">
        <f>ROUND(I569*H569,2)</f>
        <v>0</v>
      </c>
      <c r="BL569" s="2056" t="s">
        <v>856</v>
      </c>
      <c r="BM569" s="2193" t="s">
        <v>10784</v>
      </c>
    </row>
    <row r="570" spans="2:65" s="2070" customFormat="1" ht="24.2" customHeight="1">
      <c r="B570" s="2164"/>
      <c r="C570" s="4608">
        <v>105</v>
      </c>
      <c r="D570" s="4608" t="s">
        <v>3286</v>
      </c>
      <c r="E570" s="4609" t="s">
        <v>3689</v>
      </c>
      <c r="F570" s="4610" t="s">
        <v>3690</v>
      </c>
      <c r="G570" s="4611" t="s">
        <v>611</v>
      </c>
      <c r="H570" s="4612">
        <v>3875.8049999999998</v>
      </c>
      <c r="I570" s="4613"/>
      <c r="J570" s="4613">
        <f>ROUND(I570*H570,2)</f>
        <v>0</v>
      </c>
      <c r="K570" s="4610" t="s">
        <v>142</v>
      </c>
      <c r="L570" s="2071"/>
      <c r="M570" s="2190" t="s">
        <v>3146</v>
      </c>
      <c r="N570" s="2163" t="s">
        <v>3181</v>
      </c>
      <c r="O570" s="2191">
        <v>0.104</v>
      </c>
      <c r="P570" s="2191">
        <f>O570*H570</f>
        <v>403.08371999999997</v>
      </c>
      <c r="Q570" s="2191">
        <v>2.5999999999999998E-4</v>
      </c>
      <c r="R570" s="2191">
        <f>Q570*H570</f>
        <v>1.0077092999999999</v>
      </c>
      <c r="S570" s="2191">
        <v>0</v>
      </c>
      <c r="T570" s="2192">
        <f>S570*H570</f>
        <v>0</v>
      </c>
      <c r="AR570" s="2193" t="s">
        <v>856</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856</v>
      </c>
      <c r="BM570" s="2193" t="s">
        <v>3691</v>
      </c>
    </row>
    <row r="571" spans="2:65" s="2195" customFormat="1">
      <c r="B571" s="2196"/>
      <c r="D571" s="2197" t="s">
        <v>3303</v>
      </c>
      <c r="E571" s="2198" t="s">
        <v>3146</v>
      </c>
      <c r="F571" s="2199" t="s">
        <v>3569</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3685</v>
      </c>
      <c r="H572" s="2213">
        <v>1328.223</v>
      </c>
      <c r="L572" s="2210"/>
      <c r="M572" s="2214"/>
      <c r="T572" s="2215"/>
      <c r="AT572" s="2211" t="s">
        <v>3303</v>
      </c>
      <c r="AU572" s="2211" t="s">
        <v>134</v>
      </c>
      <c r="AV572" s="2209" t="s">
        <v>134</v>
      </c>
      <c r="AW572" s="2209" t="s">
        <v>3171</v>
      </c>
      <c r="AX572" s="2209" t="s">
        <v>3213</v>
      </c>
      <c r="AY572" s="2211" t="s">
        <v>3285</v>
      </c>
    </row>
    <row r="573" spans="2:65" s="2195" customFormat="1">
      <c r="B573" s="2196"/>
      <c r="D573" s="2197" t="s">
        <v>3303</v>
      </c>
      <c r="E573" s="2198" t="s">
        <v>3146</v>
      </c>
      <c r="F573" s="2199" t="s">
        <v>3661</v>
      </c>
      <c r="H573" s="2198" t="s">
        <v>3146</v>
      </c>
      <c r="L573" s="2196"/>
      <c r="M573" s="2200"/>
      <c r="T573" s="2201"/>
      <c r="AT573" s="2198" t="s">
        <v>3303</v>
      </c>
      <c r="AU573" s="2198" t="s">
        <v>134</v>
      </c>
      <c r="AV573" s="2195" t="s">
        <v>133</v>
      </c>
      <c r="AW573" s="2195" t="s">
        <v>3171</v>
      </c>
      <c r="AX573" s="2195" t="s">
        <v>3213</v>
      </c>
      <c r="AY573" s="2198" t="s">
        <v>3285</v>
      </c>
    </row>
    <row r="574" spans="2:65" s="2209" customFormat="1">
      <c r="B574" s="2210"/>
      <c r="D574" s="2197" t="s">
        <v>3303</v>
      </c>
      <c r="E574" s="2211" t="s">
        <v>3146</v>
      </c>
      <c r="F574" s="2212" t="s">
        <v>3686</v>
      </c>
      <c r="H574" s="2213">
        <v>778.37099999999998</v>
      </c>
      <c r="L574" s="2210"/>
      <c r="M574" s="2214"/>
      <c r="T574" s="2215"/>
      <c r="AT574" s="2211" t="s">
        <v>3303</v>
      </c>
      <c r="AU574" s="2211" t="s">
        <v>134</v>
      </c>
      <c r="AV574" s="2209" t="s">
        <v>134</v>
      </c>
      <c r="AW574" s="2209" t="s">
        <v>3171</v>
      </c>
      <c r="AX574" s="2209" t="s">
        <v>3213</v>
      </c>
      <c r="AY574" s="2211" t="s">
        <v>3285</v>
      </c>
    </row>
    <row r="575" spans="2:65" s="2195" customFormat="1">
      <c r="B575" s="2196"/>
      <c r="D575" s="2197" t="s">
        <v>3303</v>
      </c>
      <c r="E575" s="2198" t="s">
        <v>3146</v>
      </c>
      <c r="F575" s="2199" t="s">
        <v>3578</v>
      </c>
      <c r="H575" s="2198" t="s">
        <v>3146</v>
      </c>
      <c r="L575" s="2196"/>
      <c r="M575" s="2200"/>
      <c r="T575" s="2201"/>
      <c r="AT575" s="2198" t="s">
        <v>3303</v>
      </c>
      <c r="AU575" s="2198" t="s">
        <v>134</v>
      </c>
      <c r="AV575" s="2195" t="s">
        <v>133</v>
      </c>
      <c r="AW575" s="2195" t="s">
        <v>3171</v>
      </c>
      <c r="AX575" s="2195" t="s">
        <v>3213</v>
      </c>
      <c r="AY575" s="2198" t="s">
        <v>3285</v>
      </c>
    </row>
    <row r="576" spans="2:65" s="2209" customFormat="1">
      <c r="B576" s="2210"/>
      <c r="D576" s="2197" t="s">
        <v>3303</v>
      </c>
      <c r="E576" s="2211" t="s">
        <v>3146</v>
      </c>
      <c r="F576" s="2212" t="s">
        <v>3687</v>
      </c>
      <c r="H576" s="2213">
        <v>901.73800000000006</v>
      </c>
      <c r="L576" s="2210"/>
      <c r="M576" s="2214"/>
      <c r="T576" s="2215"/>
      <c r="AT576" s="2211" t="s">
        <v>3303</v>
      </c>
      <c r="AU576" s="2211" t="s">
        <v>134</v>
      </c>
      <c r="AV576" s="2209" t="s">
        <v>134</v>
      </c>
      <c r="AW576" s="2209" t="s">
        <v>3171</v>
      </c>
      <c r="AX576" s="2209" t="s">
        <v>3213</v>
      </c>
      <c r="AY576" s="2211" t="s">
        <v>3285</v>
      </c>
    </row>
    <row r="577" spans="2:65" s="2195" customFormat="1">
      <c r="B577" s="2196"/>
      <c r="D577" s="2197" t="s">
        <v>3303</v>
      </c>
      <c r="E577" s="2198" t="s">
        <v>3146</v>
      </c>
      <c r="F577" s="2199" t="s">
        <v>3580</v>
      </c>
      <c r="H577" s="2198" t="s">
        <v>3146</v>
      </c>
      <c r="L577" s="2196"/>
      <c r="M577" s="2200"/>
      <c r="T577" s="2201"/>
      <c r="AT577" s="2198" t="s">
        <v>3303</v>
      </c>
      <c r="AU577" s="2198" t="s">
        <v>134</v>
      </c>
      <c r="AV577" s="2195" t="s">
        <v>133</v>
      </c>
      <c r="AW577" s="2195" t="s">
        <v>3171</v>
      </c>
      <c r="AX577" s="2195" t="s">
        <v>3213</v>
      </c>
      <c r="AY577" s="2198" t="s">
        <v>3285</v>
      </c>
    </row>
    <row r="578" spans="2:65" s="2209" customFormat="1">
      <c r="B578" s="2210"/>
      <c r="D578" s="2197" t="s">
        <v>3303</v>
      </c>
      <c r="E578" s="2211" t="s">
        <v>3146</v>
      </c>
      <c r="F578" s="2212" t="s">
        <v>3688</v>
      </c>
      <c r="H578" s="2213">
        <v>867.47299999999996</v>
      </c>
      <c r="L578" s="2210"/>
      <c r="M578" s="2214"/>
      <c r="T578" s="2215"/>
      <c r="AT578" s="2211" t="s">
        <v>3303</v>
      </c>
      <c r="AU578" s="2211" t="s">
        <v>134</v>
      </c>
      <c r="AV578" s="2209" t="s">
        <v>134</v>
      </c>
      <c r="AW578" s="2209" t="s">
        <v>3171</v>
      </c>
      <c r="AX578" s="2209" t="s">
        <v>3213</v>
      </c>
      <c r="AY578" s="2211" t="s">
        <v>3285</v>
      </c>
    </row>
    <row r="579" spans="2:65" s="2216" customFormat="1">
      <c r="B579" s="2217"/>
      <c r="D579" s="2197" t="s">
        <v>3303</v>
      </c>
      <c r="E579" s="2218" t="s">
        <v>3146</v>
      </c>
      <c r="F579" s="2219" t="s">
        <v>3306</v>
      </c>
      <c r="H579" s="2220">
        <v>3875.8049999999998</v>
      </c>
      <c r="L579" s="2217"/>
      <c r="M579" s="2221"/>
      <c r="T579" s="2222"/>
      <c r="AT579" s="2218" t="s">
        <v>3303</v>
      </c>
      <c r="AU579" s="2218" t="s">
        <v>134</v>
      </c>
      <c r="AV579" s="2216" t="s">
        <v>856</v>
      </c>
      <c r="AW579" s="2216" t="s">
        <v>3171</v>
      </c>
      <c r="AX579" s="2216" t="s">
        <v>133</v>
      </c>
      <c r="AY579" s="2218" t="s">
        <v>3285</v>
      </c>
    </row>
    <row r="580" spans="2:65" s="2070" customFormat="1" ht="24.2" customHeight="1">
      <c r="B580" s="2164"/>
      <c r="C580" s="4608">
        <v>106</v>
      </c>
      <c r="D580" s="4608" t="s">
        <v>3286</v>
      </c>
      <c r="E580" s="4609" t="s">
        <v>3692</v>
      </c>
      <c r="F580" s="4610" t="s">
        <v>3693</v>
      </c>
      <c r="G580" s="4611" t="s">
        <v>611</v>
      </c>
      <c r="H580" s="4612">
        <v>3875.8049999999998</v>
      </c>
      <c r="I580" s="4613"/>
      <c r="J580" s="4613">
        <f>ROUND(I580*H580,2)</f>
        <v>0</v>
      </c>
      <c r="K580" s="4610" t="s">
        <v>142</v>
      </c>
      <c r="L580" s="2071"/>
      <c r="M580" s="2190" t="s">
        <v>3146</v>
      </c>
      <c r="N580" s="2163" t="s">
        <v>3181</v>
      </c>
      <c r="O580" s="2191">
        <v>0.32</v>
      </c>
      <c r="P580" s="2191">
        <f>O580*H580</f>
        <v>1240.2575999999999</v>
      </c>
      <c r="Q580" s="2191">
        <v>1.103E-2</v>
      </c>
      <c r="R580" s="2191">
        <f>Q580*H580</f>
        <v>42.750129149999999</v>
      </c>
      <c r="S580" s="2191">
        <v>0</v>
      </c>
      <c r="T580" s="2192">
        <f>S580*H580</f>
        <v>0</v>
      </c>
      <c r="AR580" s="2193" t="s">
        <v>856</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856</v>
      </c>
      <c r="BM580" s="2193" t="s">
        <v>3694</v>
      </c>
    </row>
    <row r="581" spans="2:65" s="2195" customFormat="1">
      <c r="B581" s="2196"/>
      <c r="D581" s="2197" t="s">
        <v>3303</v>
      </c>
      <c r="E581" s="2198" t="s">
        <v>3146</v>
      </c>
      <c r="F581" s="2199" t="s">
        <v>3569</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3685</v>
      </c>
      <c r="H582" s="2213">
        <v>1328.223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3661</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3686</v>
      </c>
      <c r="H584" s="2213">
        <v>778.37099999999998</v>
      </c>
      <c r="L584" s="2210"/>
      <c r="M584" s="2214"/>
      <c r="T584" s="2215"/>
      <c r="AT584" s="2211" t="s">
        <v>3303</v>
      </c>
      <c r="AU584" s="2211" t="s">
        <v>134</v>
      </c>
      <c r="AV584" s="2209" t="s">
        <v>134</v>
      </c>
      <c r="AW584" s="2209" t="s">
        <v>3171</v>
      </c>
      <c r="AX584" s="2209" t="s">
        <v>3213</v>
      </c>
      <c r="AY584" s="2211" t="s">
        <v>3285</v>
      </c>
    </row>
    <row r="585" spans="2:65" s="2195" customFormat="1">
      <c r="B585" s="2196"/>
      <c r="D585" s="2197" t="s">
        <v>3303</v>
      </c>
      <c r="E585" s="2198" t="s">
        <v>3146</v>
      </c>
      <c r="F585" s="2199" t="s">
        <v>3578</v>
      </c>
      <c r="H585" s="2198" t="s">
        <v>3146</v>
      </c>
      <c r="L585" s="2196"/>
      <c r="M585" s="2200"/>
      <c r="T585" s="2201"/>
      <c r="AT585" s="2198" t="s">
        <v>3303</v>
      </c>
      <c r="AU585" s="2198" t="s">
        <v>134</v>
      </c>
      <c r="AV585" s="2195" t="s">
        <v>133</v>
      </c>
      <c r="AW585" s="2195" t="s">
        <v>3171</v>
      </c>
      <c r="AX585" s="2195" t="s">
        <v>3213</v>
      </c>
      <c r="AY585" s="2198" t="s">
        <v>3285</v>
      </c>
    </row>
    <row r="586" spans="2:65" s="2209" customFormat="1">
      <c r="B586" s="2210"/>
      <c r="D586" s="2197" t="s">
        <v>3303</v>
      </c>
      <c r="E586" s="2211" t="s">
        <v>3146</v>
      </c>
      <c r="F586" s="2212" t="s">
        <v>3687</v>
      </c>
      <c r="H586" s="2213">
        <v>901.73800000000006</v>
      </c>
      <c r="L586" s="2210"/>
      <c r="M586" s="2214"/>
      <c r="T586" s="2215"/>
      <c r="AT586" s="2211" t="s">
        <v>3303</v>
      </c>
      <c r="AU586" s="2211" t="s">
        <v>134</v>
      </c>
      <c r="AV586" s="2209" t="s">
        <v>134</v>
      </c>
      <c r="AW586" s="2209" t="s">
        <v>3171</v>
      </c>
      <c r="AX586" s="2209" t="s">
        <v>3213</v>
      </c>
      <c r="AY586" s="2211" t="s">
        <v>3285</v>
      </c>
    </row>
    <row r="587" spans="2:65" s="2195" customFormat="1">
      <c r="B587" s="2196"/>
      <c r="D587" s="2197" t="s">
        <v>3303</v>
      </c>
      <c r="E587" s="2198" t="s">
        <v>3146</v>
      </c>
      <c r="F587" s="2199" t="s">
        <v>3580</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3688</v>
      </c>
      <c r="H588" s="2213">
        <v>867.47299999999996</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3875.8049999999998</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v>107</v>
      </c>
      <c r="D590" s="4608" t="s">
        <v>3286</v>
      </c>
      <c r="E590" s="4609" t="s">
        <v>3695</v>
      </c>
      <c r="F590" s="4610" t="s">
        <v>3696</v>
      </c>
      <c r="G590" s="4611" t="s">
        <v>611</v>
      </c>
      <c r="H590" s="4612">
        <v>3875.8049999999998</v>
      </c>
      <c r="I590" s="4613"/>
      <c r="J590" s="4613">
        <f>ROUND(I590*H590,2)</f>
        <v>0</v>
      </c>
      <c r="K590" s="4610" t="s">
        <v>142</v>
      </c>
      <c r="L590" s="2071"/>
      <c r="M590" s="2190" t="s">
        <v>3146</v>
      </c>
      <c r="N590" s="2163" t="s">
        <v>3181</v>
      </c>
      <c r="O590" s="2191">
        <v>0.06</v>
      </c>
      <c r="P590" s="2191">
        <f>O590*H590</f>
        <v>232.54829999999998</v>
      </c>
      <c r="Q590" s="2191">
        <v>5.5199999999999997E-3</v>
      </c>
      <c r="R590" s="2191">
        <f>Q590*H590</f>
        <v>21.394443599999999</v>
      </c>
      <c r="S590" s="2191">
        <v>0</v>
      </c>
      <c r="T590" s="2192">
        <f>S590*H590</f>
        <v>0</v>
      </c>
      <c r="AR590" s="2193" t="s">
        <v>856</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856</v>
      </c>
      <c r="BM590" s="2193" t="s">
        <v>3697</v>
      </c>
    </row>
    <row r="591" spans="2:65" s="2195" customFormat="1">
      <c r="B591" s="2196"/>
      <c r="D591" s="2197" t="s">
        <v>3303</v>
      </c>
      <c r="E591" s="2198" t="s">
        <v>3146</v>
      </c>
      <c r="F591" s="2199" t="s">
        <v>3569</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3685</v>
      </c>
      <c r="H592" s="2213">
        <v>1328.223</v>
      </c>
      <c r="L592" s="2210"/>
      <c r="M592" s="2214"/>
      <c r="T592" s="2215"/>
      <c r="AT592" s="2211" t="s">
        <v>3303</v>
      </c>
      <c r="AU592" s="2211" t="s">
        <v>134</v>
      </c>
      <c r="AV592" s="2209" t="s">
        <v>134</v>
      </c>
      <c r="AW592" s="2209" t="s">
        <v>3171</v>
      </c>
      <c r="AX592" s="2209" t="s">
        <v>3213</v>
      </c>
      <c r="AY592" s="2211" t="s">
        <v>3285</v>
      </c>
    </row>
    <row r="593" spans="2:65" s="2195" customFormat="1">
      <c r="B593" s="2196"/>
      <c r="D593" s="2197" t="s">
        <v>3303</v>
      </c>
      <c r="E593" s="2198" t="s">
        <v>3146</v>
      </c>
      <c r="F593" s="2199" t="s">
        <v>3661</v>
      </c>
      <c r="H593" s="2198" t="s">
        <v>3146</v>
      </c>
      <c r="L593" s="2196"/>
      <c r="M593" s="2200"/>
      <c r="T593" s="2201"/>
      <c r="AT593" s="2198" t="s">
        <v>3303</v>
      </c>
      <c r="AU593" s="2198" t="s">
        <v>134</v>
      </c>
      <c r="AV593" s="2195" t="s">
        <v>133</v>
      </c>
      <c r="AW593" s="2195" t="s">
        <v>3171</v>
      </c>
      <c r="AX593" s="2195" t="s">
        <v>3213</v>
      </c>
      <c r="AY593" s="2198" t="s">
        <v>3285</v>
      </c>
    </row>
    <row r="594" spans="2:65" s="2209" customFormat="1">
      <c r="B594" s="2210"/>
      <c r="D594" s="2197" t="s">
        <v>3303</v>
      </c>
      <c r="E594" s="2211" t="s">
        <v>3146</v>
      </c>
      <c r="F594" s="2212" t="s">
        <v>3686</v>
      </c>
      <c r="H594" s="2213">
        <v>778.37099999999998</v>
      </c>
      <c r="L594" s="2210"/>
      <c r="M594" s="2214"/>
      <c r="T594" s="2215"/>
      <c r="AT594" s="2211" t="s">
        <v>3303</v>
      </c>
      <c r="AU594" s="2211" t="s">
        <v>134</v>
      </c>
      <c r="AV594" s="2209" t="s">
        <v>134</v>
      </c>
      <c r="AW594" s="2209" t="s">
        <v>3171</v>
      </c>
      <c r="AX594" s="2209" t="s">
        <v>3213</v>
      </c>
      <c r="AY594" s="2211" t="s">
        <v>3285</v>
      </c>
    </row>
    <row r="595" spans="2:65" s="2195" customFormat="1">
      <c r="B595" s="2196"/>
      <c r="D595" s="2197" t="s">
        <v>3303</v>
      </c>
      <c r="E595" s="2198" t="s">
        <v>3146</v>
      </c>
      <c r="F595" s="2199" t="s">
        <v>3578</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3687</v>
      </c>
      <c r="H596" s="2213">
        <v>901.73800000000006</v>
      </c>
      <c r="L596" s="2210"/>
      <c r="M596" s="2214"/>
      <c r="T596" s="2215"/>
      <c r="AT596" s="2211" t="s">
        <v>3303</v>
      </c>
      <c r="AU596" s="2211" t="s">
        <v>134</v>
      </c>
      <c r="AV596" s="2209" t="s">
        <v>134</v>
      </c>
      <c r="AW596" s="2209" t="s">
        <v>3171</v>
      </c>
      <c r="AX596" s="2209" t="s">
        <v>3213</v>
      </c>
      <c r="AY596" s="2211" t="s">
        <v>3285</v>
      </c>
    </row>
    <row r="597" spans="2:65" s="2195" customFormat="1">
      <c r="B597" s="2196"/>
      <c r="D597" s="2197" t="s">
        <v>3303</v>
      </c>
      <c r="E597" s="2198" t="s">
        <v>3146</v>
      </c>
      <c r="F597" s="2199" t="s">
        <v>3580</v>
      </c>
      <c r="H597" s="2198" t="s">
        <v>3146</v>
      </c>
      <c r="L597" s="2196"/>
      <c r="M597" s="2200"/>
      <c r="T597" s="2201"/>
      <c r="AT597" s="2198" t="s">
        <v>3303</v>
      </c>
      <c r="AU597" s="2198" t="s">
        <v>134</v>
      </c>
      <c r="AV597" s="2195" t="s">
        <v>133</v>
      </c>
      <c r="AW597" s="2195" t="s">
        <v>3171</v>
      </c>
      <c r="AX597" s="2195" t="s">
        <v>3213</v>
      </c>
      <c r="AY597" s="2198" t="s">
        <v>3285</v>
      </c>
    </row>
    <row r="598" spans="2:65" s="2209" customFormat="1">
      <c r="B598" s="2210"/>
      <c r="D598" s="2197" t="s">
        <v>3303</v>
      </c>
      <c r="E598" s="2211" t="s">
        <v>3146</v>
      </c>
      <c r="F598" s="2212" t="s">
        <v>3688</v>
      </c>
      <c r="H598" s="2213">
        <v>867.47299999999996</v>
      </c>
      <c r="L598" s="2210"/>
      <c r="M598" s="2214"/>
      <c r="T598" s="2215"/>
      <c r="AT598" s="2211" t="s">
        <v>3303</v>
      </c>
      <c r="AU598" s="2211" t="s">
        <v>134</v>
      </c>
      <c r="AV598" s="2209" t="s">
        <v>134</v>
      </c>
      <c r="AW598" s="2209" t="s">
        <v>3171</v>
      </c>
      <c r="AX598" s="2209" t="s">
        <v>3213</v>
      </c>
      <c r="AY598" s="2211" t="s">
        <v>3285</v>
      </c>
    </row>
    <row r="599" spans="2:65" s="2216" customFormat="1">
      <c r="B599" s="2217"/>
      <c r="D599" s="2197" t="s">
        <v>3303</v>
      </c>
      <c r="E599" s="2218" t="s">
        <v>3146</v>
      </c>
      <c r="F599" s="2219" t="s">
        <v>3306</v>
      </c>
      <c r="H599" s="2220">
        <v>3875.8049999999998</v>
      </c>
      <c r="L599" s="2217"/>
      <c r="M599" s="2221"/>
      <c r="T599" s="2222"/>
      <c r="AT599" s="2218" t="s">
        <v>3303</v>
      </c>
      <c r="AU599" s="2218" t="s">
        <v>134</v>
      </c>
      <c r="AV599" s="2216" t="s">
        <v>856</v>
      </c>
      <c r="AW599" s="2216" t="s">
        <v>3171</v>
      </c>
      <c r="AX599" s="2216" t="s">
        <v>133</v>
      </c>
      <c r="AY599" s="2218" t="s">
        <v>3285</v>
      </c>
    </row>
    <row r="600" spans="2:65" s="2070" customFormat="1" ht="16.5" customHeight="1">
      <c r="B600" s="2164"/>
      <c r="C600" s="4608">
        <v>108</v>
      </c>
      <c r="D600" s="4608" t="s">
        <v>3286</v>
      </c>
      <c r="E600" s="4609" t="s">
        <v>10785</v>
      </c>
      <c r="F600" s="4610" t="s">
        <v>10786</v>
      </c>
      <c r="G600" s="4611" t="s">
        <v>141</v>
      </c>
      <c r="H600" s="4612">
        <v>2250</v>
      </c>
      <c r="I600" s="4613"/>
      <c r="J600" s="4613">
        <f>ROUND(I600*H600,2)</f>
        <v>0</v>
      </c>
      <c r="K600" s="4610" t="s">
        <v>3146</v>
      </c>
      <c r="L600" s="2071"/>
      <c r="M600" s="2190" t="s">
        <v>3146</v>
      </c>
      <c r="N600" s="2163" t="s">
        <v>3181</v>
      </c>
      <c r="O600" s="2191">
        <v>0</v>
      </c>
      <c r="P600" s="2191">
        <f>O600*H600</f>
        <v>0</v>
      </c>
      <c r="Q600" s="2191">
        <v>0</v>
      </c>
      <c r="R600" s="2191">
        <f>Q600*H600</f>
        <v>0</v>
      </c>
      <c r="S600" s="2191">
        <v>0</v>
      </c>
      <c r="T600" s="2192">
        <f>S600*H600</f>
        <v>0</v>
      </c>
      <c r="AR600" s="2193" t="s">
        <v>856</v>
      </c>
      <c r="AT600" s="2193" t="s">
        <v>3286</v>
      </c>
      <c r="AU600" s="2193" t="s">
        <v>134</v>
      </c>
      <c r="AY600" s="2056" t="s">
        <v>3285</v>
      </c>
      <c r="BE600" s="2194">
        <f>IF(N600="základní",J600,0)</f>
        <v>0</v>
      </c>
      <c r="BF600" s="2194">
        <f>IF(N600="snížená",J600,0)</f>
        <v>0</v>
      </c>
      <c r="BG600" s="2194">
        <f>IF(N600="zákl. přenesená",J600,0)</f>
        <v>0</v>
      </c>
      <c r="BH600" s="2194">
        <f>IF(N600="sníž. přenesená",J600,0)</f>
        <v>0</v>
      </c>
      <c r="BI600" s="2194">
        <f>IF(N600="nulová",J600,0)</f>
        <v>0</v>
      </c>
      <c r="BJ600" s="2056" t="s">
        <v>134</v>
      </c>
      <c r="BK600" s="2194">
        <f>ROUND(I600*H600,2)</f>
        <v>0</v>
      </c>
      <c r="BL600" s="2056" t="s">
        <v>856</v>
      </c>
      <c r="BM600" s="2193" t="s">
        <v>10787</v>
      </c>
    </row>
    <row r="601" spans="2:65" s="2070" customFormat="1" ht="24.2" customHeight="1">
      <c r="B601" s="2164"/>
      <c r="C601" s="4608">
        <v>109</v>
      </c>
      <c r="D601" s="4608" t="s">
        <v>3286</v>
      </c>
      <c r="E601" s="4609" t="s">
        <v>3701</v>
      </c>
      <c r="F601" s="4610" t="s">
        <v>3702</v>
      </c>
      <c r="G601" s="4611" t="s">
        <v>611</v>
      </c>
      <c r="H601" s="4612">
        <v>1641.2639999999999</v>
      </c>
      <c r="I601" s="4613"/>
      <c r="J601" s="4613">
        <f>ROUND(I601*H601,2)</f>
        <v>0</v>
      </c>
      <c r="K601" s="4610" t="s">
        <v>142</v>
      </c>
      <c r="L601" s="2071"/>
      <c r="M601" s="2190" t="s">
        <v>3146</v>
      </c>
      <c r="N601" s="2163" t="s">
        <v>3181</v>
      </c>
      <c r="O601" s="2191">
        <v>7.4999999999999997E-2</v>
      </c>
      <c r="P601" s="2191">
        <f>O601*H601</f>
        <v>123.09479999999999</v>
      </c>
      <c r="Q601" s="2191">
        <v>1.3999999999999999E-4</v>
      </c>
      <c r="R601" s="2191">
        <f>Q601*H601</f>
        <v>0.22977695999999997</v>
      </c>
      <c r="S601" s="2191">
        <v>0</v>
      </c>
      <c r="T601" s="2192">
        <f>S601*H601</f>
        <v>0</v>
      </c>
      <c r="AR601" s="2193" t="s">
        <v>856</v>
      </c>
      <c r="AT601" s="2193" t="s">
        <v>3286</v>
      </c>
      <c r="AU601" s="2193" t="s">
        <v>134</v>
      </c>
      <c r="AY601" s="2056" t="s">
        <v>3285</v>
      </c>
      <c r="BE601" s="2194">
        <f>IF(N601="základní",J601,0)</f>
        <v>0</v>
      </c>
      <c r="BF601" s="2194">
        <f>IF(N601="snížená",J601,0)</f>
        <v>0</v>
      </c>
      <c r="BG601" s="2194">
        <f>IF(N601="zákl. přenesená",J601,0)</f>
        <v>0</v>
      </c>
      <c r="BH601" s="2194">
        <f>IF(N601="sníž. přenesená",J601,0)</f>
        <v>0</v>
      </c>
      <c r="BI601" s="2194">
        <f>IF(N601="nulová",J601,0)</f>
        <v>0</v>
      </c>
      <c r="BJ601" s="2056" t="s">
        <v>134</v>
      </c>
      <c r="BK601" s="2194">
        <f>ROUND(I601*H601,2)</f>
        <v>0</v>
      </c>
      <c r="BL601" s="2056" t="s">
        <v>856</v>
      </c>
      <c r="BM601" s="2193" t="s">
        <v>3703</v>
      </c>
    </row>
    <row r="602" spans="2:65" s="2209" customFormat="1">
      <c r="B602" s="2210"/>
      <c r="D602" s="2197" t="s">
        <v>3303</v>
      </c>
      <c r="E602" s="2211" t="s">
        <v>3146</v>
      </c>
      <c r="F602" s="2212" t="s">
        <v>3704</v>
      </c>
      <c r="H602" s="2213">
        <v>1541.4</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3705</v>
      </c>
      <c r="H603" s="2213">
        <v>99.864000000000004</v>
      </c>
      <c r="L603" s="2210"/>
      <c r="M603" s="2214"/>
      <c r="T603" s="2215"/>
      <c r="AT603" s="2211" t="s">
        <v>3303</v>
      </c>
      <c r="AU603" s="2211" t="s">
        <v>134</v>
      </c>
      <c r="AV603" s="2209" t="s">
        <v>134</v>
      </c>
      <c r="AW603" s="2209" t="s">
        <v>3171</v>
      </c>
      <c r="AX603" s="2209" t="s">
        <v>3213</v>
      </c>
      <c r="AY603" s="2211" t="s">
        <v>3285</v>
      </c>
    </row>
    <row r="604" spans="2:65" s="2216" customFormat="1">
      <c r="B604" s="2217"/>
      <c r="D604" s="2197" t="s">
        <v>3303</v>
      </c>
      <c r="E604" s="2218" t="s">
        <v>3146</v>
      </c>
      <c r="F604" s="2219" t="s">
        <v>3306</v>
      </c>
      <c r="H604" s="2220">
        <v>1641.2639999999999</v>
      </c>
      <c r="L604" s="2217"/>
      <c r="M604" s="2221"/>
      <c r="T604" s="2222"/>
      <c r="AT604" s="2218" t="s">
        <v>3303</v>
      </c>
      <c r="AU604" s="2218" t="s">
        <v>134</v>
      </c>
      <c r="AV604" s="2216" t="s">
        <v>856</v>
      </c>
      <c r="AW604" s="2216" t="s">
        <v>3171</v>
      </c>
      <c r="AX604" s="2216" t="s">
        <v>133</v>
      </c>
      <c r="AY604" s="2218" t="s">
        <v>3285</v>
      </c>
    </row>
    <row r="605" spans="2:65" s="2070" customFormat="1" ht="37.9" customHeight="1">
      <c r="B605" s="2164"/>
      <c r="C605" s="4608">
        <v>110</v>
      </c>
      <c r="D605" s="4608" t="s">
        <v>3286</v>
      </c>
      <c r="E605" s="4609" t="s">
        <v>10788</v>
      </c>
      <c r="F605" s="4610" t="s">
        <v>10789</v>
      </c>
      <c r="G605" s="4611" t="s">
        <v>611</v>
      </c>
      <c r="H605" s="4612">
        <v>50</v>
      </c>
      <c r="I605" s="4613"/>
      <c r="J605" s="4613">
        <f>ROUND(I605*H605,2)</f>
        <v>0</v>
      </c>
      <c r="K605" s="4610" t="s">
        <v>142</v>
      </c>
      <c r="L605" s="2071"/>
      <c r="M605" s="2190" t="s">
        <v>3146</v>
      </c>
      <c r="N605" s="2163" t="s">
        <v>3181</v>
      </c>
      <c r="O605" s="2191">
        <v>1</v>
      </c>
      <c r="P605" s="2191">
        <f>O605*H605</f>
        <v>50</v>
      </c>
      <c r="Q605" s="2191">
        <v>8.3499999999999998E-3</v>
      </c>
      <c r="R605" s="2191">
        <f>Q605*H605</f>
        <v>0.41749999999999998</v>
      </c>
      <c r="S605" s="2191">
        <v>0</v>
      </c>
      <c r="T605" s="2192">
        <f>S605*H605</f>
        <v>0</v>
      </c>
      <c r="AR605" s="2193" t="s">
        <v>856</v>
      </c>
      <c r="AT605" s="2193" t="s">
        <v>3286</v>
      </c>
      <c r="AU605" s="2193" t="s">
        <v>134</v>
      </c>
      <c r="AY605" s="2056" t="s">
        <v>3285</v>
      </c>
      <c r="BE605" s="2194">
        <f>IF(N605="základní",J605,0)</f>
        <v>0</v>
      </c>
      <c r="BF605" s="2194">
        <f>IF(N605="snížená",J605,0)</f>
        <v>0</v>
      </c>
      <c r="BG605" s="2194">
        <f>IF(N605="zákl. přenesená",J605,0)</f>
        <v>0</v>
      </c>
      <c r="BH605" s="2194">
        <f>IF(N605="sníž. přenesená",J605,0)</f>
        <v>0</v>
      </c>
      <c r="BI605" s="2194">
        <f>IF(N605="nulová",J605,0)</f>
        <v>0</v>
      </c>
      <c r="BJ605" s="2056" t="s">
        <v>134</v>
      </c>
      <c r="BK605" s="2194">
        <f>ROUND(I605*H605,2)</f>
        <v>0</v>
      </c>
      <c r="BL605" s="2056" t="s">
        <v>856</v>
      </c>
      <c r="BM605" s="2193" t="s">
        <v>10790</v>
      </c>
    </row>
    <row r="606" spans="2:65" s="2209" customFormat="1">
      <c r="B606" s="2210"/>
      <c r="D606" s="2197" t="s">
        <v>3303</v>
      </c>
      <c r="E606" s="2211" t="s">
        <v>3146</v>
      </c>
      <c r="F606" s="2212" t="s">
        <v>10791</v>
      </c>
      <c r="H606" s="2213">
        <v>50</v>
      </c>
      <c r="L606" s="2210"/>
      <c r="M606" s="2214"/>
      <c r="T606" s="2215"/>
      <c r="AT606" s="2211" t="s">
        <v>3303</v>
      </c>
      <c r="AU606" s="2211" t="s">
        <v>134</v>
      </c>
      <c r="AV606" s="2209" t="s">
        <v>134</v>
      </c>
      <c r="AW606" s="2209" t="s">
        <v>3171</v>
      </c>
      <c r="AX606" s="2209" t="s">
        <v>133</v>
      </c>
      <c r="AY606" s="2211" t="s">
        <v>3285</v>
      </c>
    </row>
    <row r="607" spans="2:65" s="2070" customFormat="1" ht="24.2" customHeight="1">
      <c r="B607" s="2164"/>
      <c r="C607" s="4614">
        <v>111</v>
      </c>
      <c r="D607" s="4614" t="s">
        <v>135</v>
      </c>
      <c r="E607" s="4615" t="s">
        <v>10792</v>
      </c>
      <c r="F607" s="4616" t="s">
        <v>10793</v>
      </c>
      <c r="G607" s="4617" t="s">
        <v>611</v>
      </c>
      <c r="H607" s="4618">
        <v>52.5</v>
      </c>
      <c r="I607" s="4619"/>
      <c r="J607" s="4619">
        <f>ROUND(I607*H607,2)</f>
        <v>0</v>
      </c>
      <c r="K607" s="4616" t="s">
        <v>142</v>
      </c>
      <c r="L607" s="2223"/>
      <c r="M607" s="2224" t="s">
        <v>3146</v>
      </c>
      <c r="N607" s="2225" t="s">
        <v>3181</v>
      </c>
      <c r="O607" s="2191">
        <v>0</v>
      </c>
      <c r="P607" s="2191">
        <f>O607*H607</f>
        <v>0</v>
      </c>
      <c r="Q607" s="2191">
        <v>1.0499999999999999E-3</v>
      </c>
      <c r="R607" s="2191">
        <f>Q607*H607</f>
        <v>5.5124999999999993E-2</v>
      </c>
      <c r="S607" s="2191">
        <v>0</v>
      </c>
      <c r="T607" s="2192">
        <f>S607*H607</f>
        <v>0</v>
      </c>
      <c r="AR607" s="2193" t="s">
        <v>1363</v>
      </c>
      <c r="AT607" s="2193" t="s">
        <v>135</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856</v>
      </c>
      <c r="BM607" s="2193" t="s">
        <v>10794</v>
      </c>
    </row>
    <row r="608" spans="2:65" s="2209" customFormat="1">
      <c r="B608" s="2210"/>
      <c r="D608" s="2197" t="s">
        <v>3303</v>
      </c>
      <c r="F608" s="2212" t="s">
        <v>10795</v>
      </c>
      <c r="H608" s="2213">
        <v>52.5</v>
      </c>
      <c r="L608" s="2210"/>
      <c r="M608" s="2214"/>
      <c r="T608" s="2215"/>
      <c r="AT608" s="2211" t="s">
        <v>3303</v>
      </c>
      <c r="AU608" s="2211" t="s">
        <v>134</v>
      </c>
      <c r="AV608" s="2209" t="s">
        <v>134</v>
      </c>
      <c r="AW608" s="2209" t="s">
        <v>3148</v>
      </c>
      <c r="AX608" s="2209" t="s">
        <v>133</v>
      </c>
      <c r="AY608" s="2211" t="s">
        <v>3285</v>
      </c>
    </row>
    <row r="609" spans="2:65" s="2070" customFormat="1" ht="44.25" customHeight="1">
      <c r="B609" s="2164"/>
      <c r="C609" s="4608">
        <v>112</v>
      </c>
      <c r="D609" s="4608" t="s">
        <v>3286</v>
      </c>
      <c r="E609" s="4609" t="s">
        <v>3707</v>
      </c>
      <c r="F609" s="4610" t="s">
        <v>3708</v>
      </c>
      <c r="G609" s="4611" t="s">
        <v>611</v>
      </c>
      <c r="H609" s="4612">
        <v>195.92599999999999</v>
      </c>
      <c r="I609" s="4613"/>
      <c r="J609" s="4613">
        <f>ROUND(I609*H609,2)</f>
        <v>0</v>
      </c>
      <c r="K609" s="4610" t="s">
        <v>142</v>
      </c>
      <c r="L609" s="2071"/>
      <c r="M609" s="2190" t="s">
        <v>3146</v>
      </c>
      <c r="N609" s="2163" t="s">
        <v>3181</v>
      </c>
      <c r="O609" s="2191">
        <v>1.08</v>
      </c>
      <c r="P609" s="2191">
        <f>O609*H609</f>
        <v>211.60007999999999</v>
      </c>
      <c r="Q609" s="2191">
        <v>8.6800000000000002E-3</v>
      </c>
      <c r="R609" s="2191">
        <f>Q609*H609</f>
        <v>1.70063768</v>
      </c>
      <c r="S609" s="2191">
        <v>0</v>
      </c>
      <c r="T609" s="2192">
        <f>S609*H609</f>
        <v>0</v>
      </c>
      <c r="AR609" s="2193" t="s">
        <v>856</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856</v>
      </c>
      <c r="BM609" s="2193" t="s">
        <v>3709</v>
      </c>
    </row>
    <row r="610" spans="2:65" s="2195" customFormat="1">
      <c r="B610" s="2196"/>
      <c r="D610" s="2197" t="s">
        <v>3303</v>
      </c>
      <c r="E610" s="2198" t="s">
        <v>3146</v>
      </c>
      <c r="F610" s="2199" t="s">
        <v>3517</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3710</v>
      </c>
      <c r="H611" s="2213">
        <v>100.051</v>
      </c>
      <c r="L611" s="2210"/>
      <c r="M611" s="2214"/>
      <c r="T611" s="2215"/>
      <c r="AT611" s="2211" t="s">
        <v>3303</v>
      </c>
      <c r="AU611" s="2211" t="s">
        <v>134</v>
      </c>
      <c r="AV611" s="2209" t="s">
        <v>134</v>
      </c>
      <c r="AW611" s="2209" t="s">
        <v>3171</v>
      </c>
      <c r="AX611" s="2209" t="s">
        <v>3213</v>
      </c>
      <c r="AY611" s="2211" t="s">
        <v>3285</v>
      </c>
    </row>
    <row r="612" spans="2:65" s="2209" customFormat="1">
      <c r="B612" s="2210"/>
      <c r="D612" s="2197" t="s">
        <v>3303</v>
      </c>
      <c r="E612" s="2211" t="s">
        <v>3146</v>
      </c>
      <c r="F612" s="2212" t="s">
        <v>3711</v>
      </c>
      <c r="H612" s="2213">
        <v>1.98</v>
      </c>
      <c r="L612" s="2210"/>
      <c r="M612" s="2214"/>
      <c r="T612" s="2215"/>
      <c r="AT612" s="2211" t="s">
        <v>3303</v>
      </c>
      <c r="AU612" s="2211" t="s">
        <v>134</v>
      </c>
      <c r="AV612" s="2209" t="s">
        <v>134</v>
      </c>
      <c r="AW612" s="2209" t="s">
        <v>3171</v>
      </c>
      <c r="AX612" s="2209" t="s">
        <v>3213</v>
      </c>
      <c r="AY612" s="2211" t="s">
        <v>3285</v>
      </c>
    </row>
    <row r="613" spans="2:65" s="2209" customFormat="1">
      <c r="B613" s="2210"/>
      <c r="D613" s="2197" t="s">
        <v>3303</v>
      </c>
      <c r="E613" s="2211" t="s">
        <v>3146</v>
      </c>
      <c r="F613" s="2212" t="s">
        <v>3712</v>
      </c>
      <c r="H613" s="2213">
        <v>93.894999999999996</v>
      </c>
      <c r="L613" s="2210"/>
      <c r="M613" s="2214"/>
      <c r="T613" s="2215"/>
      <c r="AT613" s="2211" t="s">
        <v>3303</v>
      </c>
      <c r="AU613" s="2211" t="s">
        <v>134</v>
      </c>
      <c r="AV613" s="2209" t="s">
        <v>134</v>
      </c>
      <c r="AW613" s="2209" t="s">
        <v>3171</v>
      </c>
      <c r="AX613" s="2209" t="s">
        <v>3213</v>
      </c>
      <c r="AY613" s="2211" t="s">
        <v>3285</v>
      </c>
    </row>
    <row r="614" spans="2:65" s="2216" customFormat="1">
      <c r="B614" s="2217"/>
      <c r="D614" s="2197" t="s">
        <v>3303</v>
      </c>
      <c r="E614" s="2218" t="s">
        <v>3146</v>
      </c>
      <c r="F614" s="2219" t="s">
        <v>3306</v>
      </c>
      <c r="H614" s="2220">
        <v>195.92599999999999</v>
      </c>
      <c r="L614" s="2217"/>
      <c r="M614" s="2221"/>
      <c r="T614" s="2222"/>
      <c r="AT614" s="2218" t="s">
        <v>3303</v>
      </c>
      <c r="AU614" s="2218" t="s">
        <v>134</v>
      </c>
      <c r="AV614" s="2216" t="s">
        <v>856</v>
      </c>
      <c r="AW614" s="2216" t="s">
        <v>3171</v>
      </c>
      <c r="AX614" s="2216" t="s">
        <v>133</v>
      </c>
      <c r="AY614" s="2218" t="s">
        <v>3285</v>
      </c>
    </row>
    <row r="615" spans="2:65" s="2070" customFormat="1" ht="24.2" customHeight="1">
      <c r="B615" s="2164"/>
      <c r="C615" s="4614">
        <v>113</v>
      </c>
      <c r="D615" s="4614" t="s">
        <v>135</v>
      </c>
      <c r="E615" s="4615" t="s">
        <v>3714</v>
      </c>
      <c r="F615" s="4616" t="s">
        <v>3715</v>
      </c>
      <c r="G615" s="4617" t="s">
        <v>611</v>
      </c>
      <c r="H615" s="4618">
        <v>205.72200000000001</v>
      </c>
      <c r="I615" s="4619"/>
      <c r="J615" s="4619">
        <f>ROUND(I615*H615,2)</f>
        <v>0</v>
      </c>
      <c r="K615" s="4616" t="s">
        <v>142</v>
      </c>
      <c r="L615" s="2223"/>
      <c r="M615" s="2224" t="s">
        <v>3146</v>
      </c>
      <c r="N615" s="2225" t="s">
        <v>3181</v>
      </c>
      <c r="O615" s="2191">
        <v>0</v>
      </c>
      <c r="P615" s="2191">
        <f>O615*H615</f>
        <v>0</v>
      </c>
      <c r="Q615" s="2191">
        <v>6.3E-3</v>
      </c>
      <c r="R615" s="2191">
        <f>Q615*H615</f>
        <v>1.2960486</v>
      </c>
      <c r="S615" s="2191">
        <v>0</v>
      </c>
      <c r="T615" s="2192">
        <f>S615*H615</f>
        <v>0</v>
      </c>
      <c r="AR615" s="2193" t="s">
        <v>1363</v>
      </c>
      <c r="AT615" s="2193" t="s">
        <v>135</v>
      </c>
      <c r="AU615" s="2193" t="s">
        <v>134</v>
      </c>
      <c r="AY615" s="2056" t="s">
        <v>3285</v>
      </c>
      <c r="BE615" s="2194">
        <f>IF(N615="základní",J615,0)</f>
        <v>0</v>
      </c>
      <c r="BF615" s="2194">
        <f>IF(N615="snížená",J615,0)</f>
        <v>0</v>
      </c>
      <c r="BG615" s="2194">
        <f>IF(N615="zákl. přenesená",J615,0)</f>
        <v>0</v>
      </c>
      <c r="BH615" s="2194">
        <f>IF(N615="sníž. přenesená",J615,0)</f>
        <v>0</v>
      </c>
      <c r="BI615" s="2194">
        <f>IF(N615="nulová",J615,0)</f>
        <v>0</v>
      </c>
      <c r="BJ615" s="2056" t="s">
        <v>134</v>
      </c>
      <c r="BK615" s="2194">
        <f>ROUND(I615*H615,2)</f>
        <v>0</v>
      </c>
      <c r="BL615" s="2056" t="s">
        <v>856</v>
      </c>
      <c r="BM615" s="2193" t="s">
        <v>3716</v>
      </c>
    </row>
    <row r="616" spans="2:65" s="2209" customFormat="1">
      <c r="B616" s="2210"/>
      <c r="D616" s="2197" t="s">
        <v>3303</v>
      </c>
      <c r="F616" s="2212" t="s">
        <v>3717</v>
      </c>
      <c r="H616" s="2213">
        <v>205.72200000000001</v>
      </c>
      <c r="L616" s="2210"/>
      <c r="M616" s="2214"/>
      <c r="T616" s="2215"/>
      <c r="AT616" s="2211" t="s">
        <v>3303</v>
      </c>
      <c r="AU616" s="2211" t="s">
        <v>134</v>
      </c>
      <c r="AV616" s="2209" t="s">
        <v>134</v>
      </c>
      <c r="AW616" s="2209" t="s">
        <v>3148</v>
      </c>
      <c r="AX616" s="2209" t="s">
        <v>133</v>
      </c>
      <c r="AY616" s="2211" t="s">
        <v>3285</v>
      </c>
    </row>
    <row r="617" spans="2:65" s="2070" customFormat="1" ht="44.25" customHeight="1">
      <c r="B617" s="2164"/>
      <c r="C617" s="4608">
        <v>114</v>
      </c>
      <c r="D617" s="4608" t="s">
        <v>3286</v>
      </c>
      <c r="E617" s="4609" t="s">
        <v>3719</v>
      </c>
      <c r="F617" s="4610" t="s">
        <v>3720</v>
      </c>
      <c r="G617" s="4611" t="s">
        <v>611</v>
      </c>
      <c r="H617" s="4612">
        <v>742.41</v>
      </c>
      <c r="I617" s="5876" t="s">
        <v>11555</v>
      </c>
      <c r="J617" s="5877"/>
      <c r="K617" s="4610" t="s">
        <v>142</v>
      </c>
      <c r="L617" s="2071"/>
      <c r="M617" s="2190" t="s">
        <v>3146</v>
      </c>
      <c r="N617" s="2163" t="s">
        <v>3181</v>
      </c>
      <c r="O617" s="2191">
        <v>1.1000000000000001</v>
      </c>
      <c r="P617" s="2191">
        <f>O617*H617</f>
        <v>816.65100000000007</v>
      </c>
      <c r="Q617" s="2191">
        <v>8.7600000000000004E-3</v>
      </c>
      <c r="R617" s="2191">
        <f>Q617*H617</f>
        <v>6.5035116000000004</v>
      </c>
      <c r="S617" s="2191">
        <v>0</v>
      </c>
      <c r="T617" s="2192">
        <f>S617*H617</f>
        <v>0</v>
      </c>
      <c r="AR617" s="2193" t="s">
        <v>856</v>
      </c>
      <c r="AT617" s="2193" t="s">
        <v>3286</v>
      </c>
      <c r="AU617" s="2193" t="s">
        <v>134</v>
      </c>
      <c r="AY617" s="2056" t="s">
        <v>3285</v>
      </c>
      <c r="BE617" s="2194">
        <f>IF(N617="základní",J617,0)</f>
        <v>0</v>
      </c>
      <c r="BF617" s="2194">
        <f>IF(N617="snížená",J617,0)</f>
        <v>0</v>
      </c>
      <c r="BG617" s="2194">
        <f>IF(N617="zákl. přenesená",J617,0)</f>
        <v>0</v>
      </c>
      <c r="BH617" s="2194">
        <f>IF(N617="sníž. přenesená",J617,0)</f>
        <v>0</v>
      </c>
      <c r="BI617" s="2194">
        <f>IF(N617="nulová",J617,0)</f>
        <v>0</v>
      </c>
      <c r="BJ617" s="2056" t="s">
        <v>134</v>
      </c>
      <c r="BK617" s="2194">
        <v>0</v>
      </c>
      <c r="BL617" s="2056" t="s">
        <v>856</v>
      </c>
      <c r="BM617" s="2193" t="s">
        <v>3721</v>
      </c>
    </row>
    <row r="618" spans="2:65" s="2195" customFormat="1">
      <c r="B618" s="2196"/>
      <c r="D618" s="2197" t="s">
        <v>3303</v>
      </c>
      <c r="E618" s="2198" t="s">
        <v>3146</v>
      </c>
      <c r="F618" s="2199" t="s">
        <v>3722</v>
      </c>
      <c r="H618" s="2198" t="s">
        <v>3146</v>
      </c>
      <c r="L618" s="2196"/>
      <c r="M618" s="2200"/>
      <c r="T618" s="2201"/>
      <c r="AT618" s="2198" t="s">
        <v>3303</v>
      </c>
      <c r="AU618" s="2198" t="s">
        <v>134</v>
      </c>
      <c r="AV618" s="2195" t="s">
        <v>133</v>
      </c>
      <c r="AW618" s="2195" t="s">
        <v>3171</v>
      </c>
      <c r="AX618" s="2195" t="s">
        <v>3213</v>
      </c>
      <c r="AY618" s="2198" t="s">
        <v>3285</v>
      </c>
    </row>
    <row r="619" spans="2:65" s="2209" customFormat="1">
      <c r="B619" s="2210"/>
      <c r="D619" s="2197" t="s">
        <v>3303</v>
      </c>
      <c r="E619" s="2211" t="s">
        <v>3146</v>
      </c>
      <c r="F619" s="2212" t="s">
        <v>3723</v>
      </c>
      <c r="H619" s="2213">
        <v>642.54600000000005</v>
      </c>
      <c r="L619" s="2210"/>
      <c r="M619" s="2214"/>
      <c r="T619" s="2215"/>
      <c r="AT619" s="2211" t="s">
        <v>3303</v>
      </c>
      <c r="AU619" s="2211" t="s">
        <v>134</v>
      </c>
      <c r="AV619" s="2209" t="s">
        <v>134</v>
      </c>
      <c r="AW619" s="2209" t="s">
        <v>3171</v>
      </c>
      <c r="AX619" s="2209" t="s">
        <v>3213</v>
      </c>
      <c r="AY619" s="2211" t="s">
        <v>3285</v>
      </c>
    </row>
    <row r="620" spans="2:65" s="2195" customFormat="1">
      <c r="B620" s="2196"/>
      <c r="D620" s="2197" t="s">
        <v>3303</v>
      </c>
      <c r="E620" s="2198" t="s">
        <v>3146</v>
      </c>
      <c r="F620" s="2199" t="s">
        <v>3724</v>
      </c>
      <c r="H620" s="2198" t="s">
        <v>3146</v>
      </c>
      <c r="L620" s="2196"/>
      <c r="M620" s="2200"/>
      <c r="T620" s="2201"/>
      <c r="AT620" s="2198" t="s">
        <v>3303</v>
      </c>
      <c r="AU620" s="2198" t="s">
        <v>134</v>
      </c>
      <c r="AV620" s="2195" t="s">
        <v>133</v>
      </c>
      <c r="AW620" s="2195" t="s">
        <v>3171</v>
      </c>
      <c r="AX620" s="2195" t="s">
        <v>3213</v>
      </c>
      <c r="AY620" s="2198" t="s">
        <v>3285</v>
      </c>
    </row>
    <row r="621" spans="2:65" s="2209" customFormat="1">
      <c r="B621" s="2210"/>
      <c r="D621" s="2197" t="s">
        <v>3303</v>
      </c>
      <c r="E621" s="2211" t="s">
        <v>3146</v>
      </c>
      <c r="F621" s="2212" t="s">
        <v>3725</v>
      </c>
      <c r="H621" s="2213">
        <v>99.864000000000004</v>
      </c>
      <c r="L621" s="2210"/>
      <c r="M621" s="2214"/>
      <c r="T621" s="2215"/>
      <c r="AT621" s="2211" t="s">
        <v>3303</v>
      </c>
      <c r="AU621" s="2211" t="s">
        <v>134</v>
      </c>
      <c r="AV621" s="2209" t="s">
        <v>134</v>
      </c>
      <c r="AW621" s="2209" t="s">
        <v>3171</v>
      </c>
      <c r="AX621" s="2209" t="s">
        <v>3213</v>
      </c>
      <c r="AY621" s="2211" t="s">
        <v>3285</v>
      </c>
    </row>
    <row r="622" spans="2:65" s="2216" customFormat="1">
      <c r="B622" s="2217"/>
      <c r="D622" s="2197" t="s">
        <v>3303</v>
      </c>
      <c r="E622" s="2218" t="s">
        <v>3146</v>
      </c>
      <c r="F622" s="2219" t="s">
        <v>3306</v>
      </c>
      <c r="H622" s="2220">
        <v>742.41</v>
      </c>
      <c r="L622" s="2217"/>
      <c r="M622" s="2221"/>
      <c r="T622" s="2222"/>
      <c r="AT622" s="2218" t="s">
        <v>3303</v>
      </c>
      <c r="AU622" s="2218" t="s">
        <v>134</v>
      </c>
      <c r="AV622" s="2216" t="s">
        <v>856</v>
      </c>
      <c r="AW622" s="2216" t="s">
        <v>3171</v>
      </c>
      <c r="AX622" s="2216" t="s">
        <v>133</v>
      </c>
      <c r="AY622" s="2218" t="s">
        <v>3285</v>
      </c>
    </row>
    <row r="623" spans="2:65" s="2070" customFormat="1" ht="44.25" customHeight="1">
      <c r="B623" s="2164"/>
      <c r="C623" s="5561" t="s">
        <v>6595</v>
      </c>
      <c r="D623" s="5561" t="s">
        <v>3286</v>
      </c>
      <c r="E623" s="5567" t="s">
        <v>11745</v>
      </c>
      <c r="F623" s="5566" t="s">
        <v>11746</v>
      </c>
      <c r="G623" s="5570" t="s">
        <v>611</v>
      </c>
      <c r="H623" s="5568">
        <v>742.41</v>
      </c>
      <c r="I623" s="5571"/>
      <c r="J623" s="5571">
        <f>ROUND(I623*H623,2)</f>
        <v>0</v>
      </c>
      <c r="K623" s="5566" t="s">
        <v>142</v>
      </c>
      <c r="L623" s="2071"/>
      <c r="M623" s="2190" t="s">
        <v>3146</v>
      </c>
      <c r="N623" s="2163" t="s">
        <v>3181</v>
      </c>
      <c r="O623" s="2191">
        <v>1.1000000000000001</v>
      </c>
      <c r="P623" s="2191">
        <f>O623*H623</f>
        <v>816.65100000000007</v>
      </c>
      <c r="Q623" s="2191">
        <v>8.7600000000000004E-3</v>
      </c>
      <c r="R623" s="2191">
        <f>Q623*H623</f>
        <v>6.5035116000000004</v>
      </c>
      <c r="S623" s="2191">
        <v>0</v>
      </c>
      <c r="T623" s="2192">
        <f>S623*H623</f>
        <v>0</v>
      </c>
      <c r="AR623" s="2193" t="s">
        <v>856</v>
      </c>
      <c r="AT623" s="2193" t="s">
        <v>3286</v>
      </c>
      <c r="AU623" s="2193" t="s">
        <v>134</v>
      </c>
      <c r="AY623" s="2056" t="s">
        <v>3285</v>
      </c>
      <c r="BE623" s="2194">
        <f>IF(N623="základní",J623,0)</f>
        <v>0</v>
      </c>
      <c r="BF623" s="2194">
        <f>IF(N623="snížená",J623,0)</f>
        <v>0</v>
      </c>
      <c r="BG623" s="2194">
        <f>IF(N623="zákl. přenesená",J623,0)</f>
        <v>0</v>
      </c>
      <c r="BH623" s="2194">
        <f>IF(N623="sníž. přenesená",J623,0)</f>
        <v>0</v>
      </c>
      <c r="BI623" s="2194">
        <f>IF(N623="nulová",J623,0)</f>
        <v>0</v>
      </c>
      <c r="BJ623" s="2056" t="s">
        <v>134</v>
      </c>
      <c r="BK623" s="2194">
        <f>ROUND(I623*H623,2)</f>
        <v>0</v>
      </c>
      <c r="BL623" s="2056" t="s">
        <v>856</v>
      </c>
      <c r="BM623" s="2193" t="s">
        <v>3721</v>
      </c>
    </row>
    <row r="624" spans="2:65" s="2195" customFormat="1">
      <c r="B624" s="2196"/>
      <c r="C624" s="5574"/>
      <c r="D624" s="5648" t="s">
        <v>3303</v>
      </c>
      <c r="E624" s="5608" t="s">
        <v>3146</v>
      </c>
      <c r="F624" s="5560" t="s">
        <v>3722</v>
      </c>
      <c r="G624" s="5574"/>
      <c r="H624" s="5608" t="s">
        <v>3146</v>
      </c>
      <c r="I624" s="5574"/>
      <c r="J624" s="5574"/>
      <c r="K624" s="5574"/>
      <c r="L624" s="2196"/>
      <c r="M624" s="2200"/>
      <c r="T624" s="2201"/>
      <c r="AT624" s="2198" t="s">
        <v>3303</v>
      </c>
      <c r="AU624" s="2198" t="s">
        <v>134</v>
      </c>
      <c r="AV624" s="2195" t="s">
        <v>133</v>
      </c>
      <c r="AW624" s="2195" t="s">
        <v>3171</v>
      </c>
      <c r="AX624" s="2195" t="s">
        <v>3213</v>
      </c>
      <c r="AY624" s="2198" t="s">
        <v>3285</v>
      </c>
    </row>
    <row r="625" spans="2:65" s="2209" customFormat="1">
      <c r="B625" s="2210"/>
      <c r="C625" s="5574"/>
      <c r="D625" s="5648" t="s">
        <v>3303</v>
      </c>
      <c r="E625" s="5608" t="s">
        <v>3146</v>
      </c>
      <c r="F625" s="5560" t="s">
        <v>3723</v>
      </c>
      <c r="G625" s="5574"/>
      <c r="H625" s="5569">
        <v>642.54600000000005</v>
      </c>
      <c r="I625" s="5574"/>
      <c r="J625" s="5574"/>
      <c r="K625" s="5574"/>
      <c r="L625" s="2210"/>
      <c r="M625" s="2214"/>
      <c r="T625" s="2215"/>
      <c r="AT625" s="2211" t="s">
        <v>3303</v>
      </c>
      <c r="AU625" s="2211" t="s">
        <v>134</v>
      </c>
      <c r="AV625" s="2209" t="s">
        <v>134</v>
      </c>
      <c r="AW625" s="2209" t="s">
        <v>3171</v>
      </c>
      <c r="AX625" s="2209" t="s">
        <v>3213</v>
      </c>
      <c r="AY625" s="2211" t="s">
        <v>3285</v>
      </c>
    </row>
    <row r="626" spans="2:65" s="2195" customFormat="1">
      <c r="B626" s="2196"/>
      <c r="C626" s="5574"/>
      <c r="D626" s="5648" t="s">
        <v>3303</v>
      </c>
      <c r="E626" s="5608" t="s">
        <v>3146</v>
      </c>
      <c r="F626" s="5560" t="s">
        <v>3724</v>
      </c>
      <c r="G626" s="5574"/>
      <c r="H626" s="5608" t="s">
        <v>3146</v>
      </c>
      <c r="I626" s="5574"/>
      <c r="J626" s="5574"/>
      <c r="K626" s="5574"/>
      <c r="L626" s="2196"/>
      <c r="M626" s="2200"/>
      <c r="T626" s="2201"/>
      <c r="AT626" s="2198" t="s">
        <v>3303</v>
      </c>
      <c r="AU626" s="2198" t="s">
        <v>134</v>
      </c>
      <c r="AV626" s="2195" t="s">
        <v>133</v>
      </c>
      <c r="AW626" s="2195" t="s">
        <v>3171</v>
      </c>
      <c r="AX626" s="2195" t="s">
        <v>3213</v>
      </c>
      <c r="AY626" s="2198" t="s">
        <v>3285</v>
      </c>
    </row>
    <row r="627" spans="2:65" s="2209" customFormat="1">
      <c r="B627" s="2210"/>
      <c r="C627" s="5574"/>
      <c r="D627" s="5648" t="s">
        <v>3303</v>
      </c>
      <c r="E627" s="5608" t="s">
        <v>3146</v>
      </c>
      <c r="F627" s="5560" t="s">
        <v>3725</v>
      </c>
      <c r="G627" s="5574"/>
      <c r="H627" s="5569">
        <v>99.864000000000004</v>
      </c>
      <c r="I627" s="5574"/>
      <c r="J627" s="5574"/>
      <c r="K627" s="5574"/>
      <c r="L627" s="2210"/>
      <c r="M627" s="2214"/>
      <c r="T627" s="2215"/>
      <c r="AT627" s="2211" t="s">
        <v>3303</v>
      </c>
      <c r="AU627" s="2211" t="s">
        <v>134</v>
      </c>
      <c r="AV627" s="2209" t="s">
        <v>134</v>
      </c>
      <c r="AW627" s="2209" t="s">
        <v>3171</v>
      </c>
      <c r="AX627" s="2209" t="s">
        <v>3213</v>
      </c>
      <c r="AY627" s="2211" t="s">
        <v>3285</v>
      </c>
    </row>
    <row r="628" spans="2:65" s="2216" customFormat="1">
      <c r="B628" s="2217"/>
      <c r="C628" s="5574"/>
      <c r="D628" s="5648" t="s">
        <v>3303</v>
      </c>
      <c r="E628" s="5608" t="s">
        <v>3146</v>
      </c>
      <c r="F628" s="5560" t="s">
        <v>3306</v>
      </c>
      <c r="G628" s="5574"/>
      <c r="H628" s="5569">
        <v>742.41</v>
      </c>
      <c r="I628" s="5574"/>
      <c r="J628" s="5574"/>
      <c r="K628" s="5574"/>
      <c r="L628" s="2217"/>
      <c r="M628" s="2221"/>
      <c r="T628" s="2222"/>
      <c r="AT628" s="2218" t="s">
        <v>3303</v>
      </c>
      <c r="AU628" s="2218" t="s">
        <v>134</v>
      </c>
      <c r="AV628" s="2216" t="s">
        <v>856</v>
      </c>
      <c r="AW628" s="2216" t="s">
        <v>3171</v>
      </c>
      <c r="AX628" s="2216" t="s">
        <v>133</v>
      </c>
      <c r="AY628" s="2218" t="s">
        <v>3285</v>
      </c>
    </row>
    <row r="629" spans="2:65" s="2070" customFormat="1" ht="44.25" customHeight="1">
      <c r="B629" s="2164"/>
      <c r="C629" s="5561" t="s">
        <v>6597</v>
      </c>
      <c r="D629" s="5561" t="s">
        <v>3286</v>
      </c>
      <c r="E629" s="5567" t="s">
        <v>11747</v>
      </c>
      <c r="F629" s="5566" t="s">
        <v>11748</v>
      </c>
      <c r="G629" s="5570" t="s">
        <v>611</v>
      </c>
      <c r="H629" s="5568">
        <v>742.41</v>
      </c>
      <c r="I629" s="5571"/>
      <c r="J629" s="5571">
        <f>ROUND(I629*H629,2)</f>
        <v>0</v>
      </c>
      <c r="K629" s="5566" t="s">
        <v>142</v>
      </c>
      <c r="L629" s="2071"/>
      <c r="M629" s="2190" t="s">
        <v>3146</v>
      </c>
      <c r="N629" s="2163" t="s">
        <v>3181</v>
      </c>
      <c r="O629" s="2191">
        <v>1.1000000000000001</v>
      </c>
      <c r="P629" s="2191">
        <f>O629*H629</f>
        <v>816.65100000000007</v>
      </c>
      <c r="Q629" s="2191">
        <v>8.7600000000000004E-3</v>
      </c>
      <c r="R629" s="2191">
        <f>Q629*H629</f>
        <v>6.5035116000000004</v>
      </c>
      <c r="S629" s="2191">
        <v>0</v>
      </c>
      <c r="T629" s="2192">
        <f>S629*H629</f>
        <v>0</v>
      </c>
      <c r="AR629" s="2193" t="s">
        <v>856</v>
      </c>
      <c r="AT629" s="2193" t="s">
        <v>3286</v>
      </c>
      <c r="AU629" s="2193" t="s">
        <v>134</v>
      </c>
      <c r="AY629" s="2056" t="s">
        <v>3285</v>
      </c>
      <c r="BE629" s="2194">
        <f>IF(N629="základní",J629,0)</f>
        <v>0</v>
      </c>
      <c r="BF629" s="2194">
        <f>IF(N629="snížená",J629,0)</f>
        <v>0</v>
      </c>
      <c r="BG629" s="2194">
        <f>IF(N629="zákl. přenesená",J629,0)</f>
        <v>0</v>
      </c>
      <c r="BH629" s="2194">
        <f>IF(N629="sníž. přenesená",J629,0)</f>
        <v>0</v>
      </c>
      <c r="BI629" s="2194">
        <f>IF(N629="nulová",J629,0)</f>
        <v>0</v>
      </c>
      <c r="BJ629" s="2056" t="s">
        <v>134</v>
      </c>
      <c r="BK629" s="2194">
        <f>ROUND(I629*H629,2)</f>
        <v>0</v>
      </c>
      <c r="BL629" s="2056" t="s">
        <v>856</v>
      </c>
      <c r="BM629" s="2193" t="s">
        <v>3721</v>
      </c>
    </row>
    <row r="630" spans="2:65" s="2195" customFormat="1">
      <c r="B630" s="2196"/>
      <c r="C630" s="5574"/>
      <c r="D630" s="5648" t="s">
        <v>3303</v>
      </c>
      <c r="E630" s="5608" t="s">
        <v>3146</v>
      </c>
      <c r="F630" s="5560" t="s">
        <v>3722</v>
      </c>
      <c r="G630" s="5574"/>
      <c r="H630" s="5608" t="s">
        <v>3146</v>
      </c>
      <c r="I630" s="5574"/>
      <c r="J630" s="5574"/>
      <c r="K630" s="5574"/>
      <c r="L630" s="2196"/>
      <c r="M630" s="2200"/>
      <c r="T630" s="2201"/>
      <c r="AT630" s="2198" t="s">
        <v>3303</v>
      </c>
      <c r="AU630" s="2198" t="s">
        <v>134</v>
      </c>
      <c r="AV630" s="2195" t="s">
        <v>133</v>
      </c>
      <c r="AW630" s="2195" t="s">
        <v>3171</v>
      </c>
      <c r="AX630" s="2195" t="s">
        <v>3213</v>
      </c>
      <c r="AY630" s="2198" t="s">
        <v>3285</v>
      </c>
    </row>
    <row r="631" spans="2:65" s="2209" customFormat="1">
      <c r="B631" s="2210"/>
      <c r="C631" s="5574"/>
      <c r="D631" s="5648" t="s">
        <v>3303</v>
      </c>
      <c r="E631" s="5608" t="s">
        <v>3146</v>
      </c>
      <c r="F631" s="5560" t="s">
        <v>3723</v>
      </c>
      <c r="G631" s="5574"/>
      <c r="H631" s="5569">
        <v>642.54600000000005</v>
      </c>
      <c r="I631" s="5574"/>
      <c r="J631" s="5574"/>
      <c r="K631" s="5574"/>
      <c r="L631" s="2210"/>
      <c r="M631" s="2214"/>
      <c r="T631" s="2215"/>
      <c r="AT631" s="2211" t="s">
        <v>3303</v>
      </c>
      <c r="AU631" s="2211" t="s">
        <v>134</v>
      </c>
      <c r="AV631" s="2209" t="s">
        <v>134</v>
      </c>
      <c r="AW631" s="2209" t="s">
        <v>3171</v>
      </c>
      <c r="AX631" s="2209" t="s">
        <v>3213</v>
      </c>
      <c r="AY631" s="2211" t="s">
        <v>3285</v>
      </c>
    </row>
    <row r="632" spans="2:65" s="2195" customFormat="1">
      <c r="B632" s="2196"/>
      <c r="C632" s="5574"/>
      <c r="D632" s="5648" t="s">
        <v>3303</v>
      </c>
      <c r="E632" s="5608" t="s">
        <v>3146</v>
      </c>
      <c r="F632" s="5560" t="s">
        <v>3724</v>
      </c>
      <c r="G632" s="5574"/>
      <c r="H632" s="5608" t="s">
        <v>3146</v>
      </c>
      <c r="I632" s="5574"/>
      <c r="J632" s="5574"/>
      <c r="K632" s="5574"/>
      <c r="L632" s="2196"/>
      <c r="M632" s="2200"/>
      <c r="T632" s="2201"/>
      <c r="AT632" s="2198" t="s">
        <v>3303</v>
      </c>
      <c r="AU632" s="2198" t="s">
        <v>134</v>
      </c>
      <c r="AV632" s="2195" t="s">
        <v>133</v>
      </c>
      <c r="AW632" s="2195" t="s">
        <v>3171</v>
      </c>
      <c r="AX632" s="2195" t="s">
        <v>3213</v>
      </c>
      <c r="AY632" s="2198" t="s">
        <v>3285</v>
      </c>
    </row>
    <row r="633" spans="2:65" s="2209" customFormat="1">
      <c r="B633" s="2210"/>
      <c r="C633" s="5574"/>
      <c r="D633" s="5648" t="s">
        <v>3303</v>
      </c>
      <c r="E633" s="5608" t="s">
        <v>3146</v>
      </c>
      <c r="F633" s="5560" t="s">
        <v>3725</v>
      </c>
      <c r="G633" s="5574"/>
      <c r="H633" s="5569">
        <v>99.864000000000004</v>
      </c>
      <c r="I633" s="5574"/>
      <c r="J633" s="5574"/>
      <c r="K633" s="5574"/>
      <c r="L633" s="2210"/>
      <c r="M633" s="2214"/>
      <c r="T633" s="2215"/>
      <c r="AT633" s="2211" t="s">
        <v>3303</v>
      </c>
      <c r="AU633" s="2211" t="s">
        <v>134</v>
      </c>
      <c r="AV633" s="2209" t="s">
        <v>134</v>
      </c>
      <c r="AW633" s="2209" t="s">
        <v>3171</v>
      </c>
      <c r="AX633" s="2209" t="s">
        <v>3213</v>
      </c>
      <c r="AY633" s="2211" t="s">
        <v>3285</v>
      </c>
    </row>
    <row r="634" spans="2:65" s="2216" customFormat="1">
      <c r="B634" s="2217"/>
      <c r="C634" s="5574"/>
      <c r="D634" s="5648" t="s">
        <v>3303</v>
      </c>
      <c r="E634" s="5608" t="s">
        <v>3146</v>
      </c>
      <c r="F634" s="5560" t="s">
        <v>3306</v>
      </c>
      <c r="G634" s="5574"/>
      <c r="H634" s="5569">
        <v>742.41</v>
      </c>
      <c r="I634" s="5574"/>
      <c r="J634" s="5574"/>
      <c r="K634" s="5574"/>
      <c r="L634" s="2217"/>
      <c r="M634" s="2221"/>
      <c r="T634" s="2222"/>
      <c r="AT634" s="2218" t="s">
        <v>3303</v>
      </c>
      <c r="AU634" s="2218" t="s">
        <v>134</v>
      </c>
      <c r="AV634" s="2216" t="s">
        <v>856</v>
      </c>
      <c r="AW634" s="2216" t="s">
        <v>3171</v>
      </c>
      <c r="AX634" s="2216" t="s">
        <v>133</v>
      </c>
      <c r="AY634" s="2218" t="s">
        <v>3285</v>
      </c>
    </row>
    <row r="635" spans="2:65" s="2070" customFormat="1" ht="24.2" customHeight="1">
      <c r="B635" s="2164"/>
      <c r="C635" s="4614">
        <v>115</v>
      </c>
      <c r="D635" s="4614" t="s">
        <v>135</v>
      </c>
      <c r="E635" s="4615" t="s">
        <v>3727</v>
      </c>
      <c r="F635" s="4616" t="s">
        <v>3728</v>
      </c>
      <c r="G635" s="4617" t="s">
        <v>611</v>
      </c>
      <c r="H635" s="4618">
        <v>779.62</v>
      </c>
      <c r="I635" s="4619"/>
      <c r="J635" s="4619">
        <f>ROUND(I635*H635,2)</f>
        <v>0</v>
      </c>
      <c r="K635" s="4616" t="s">
        <v>142</v>
      </c>
      <c r="L635" s="2223"/>
      <c r="M635" s="2224" t="s">
        <v>3146</v>
      </c>
      <c r="N635" s="2225" t="s">
        <v>3181</v>
      </c>
      <c r="O635" s="2191">
        <v>0</v>
      </c>
      <c r="P635" s="2191">
        <f>O635*H635</f>
        <v>0</v>
      </c>
      <c r="Q635" s="2191">
        <v>3.5000000000000001E-3</v>
      </c>
      <c r="R635" s="2191">
        <f>Q635*H635</f>
        <v>2.7286700000000002</v>
      </c>
      <c r="S635" s="2191">
        <v>0</v>
      </c>
      <c r="T635" s="2192">
        <f>S635*H635</f>
        <v>0</v>
      </c>
      <c r="AR635" s="2193" t="s">
        <v>1363</v>
      </c>
      <c r="AT635" s="2193" t="s">
        <v>135</v>
      </c>
      <c r="AU635" s="2193" t="s">
        <v>134</v>
      </c>
      <c r="AY635" s="2056" t="s">
        <v>3285</v>
      </c>
      <c r="BE635" s="2194">
        <f>IF(N635="základní",J635,0)</f>
        <v>0</v>
      </c>
      <c r="BF635" s="2194">
        <f>IF(N635="snížená",J635,0)</f>
        <v>0</v>
      </c>
      <c r="BG635" s="2194">
        <f>IF(N635="zákl. přenesená",J635,0)</f>
        <v>0</v>
      </c>
      <c r="BH635" s="2194">
        <f>IF(N635="sníž. přenesená",J635,0)</f>
        <v>0</v>
      </c>
      <c r="BI635" s="2194">
        <f>IF(N635="nulová",J635,0)</f>
        <v>0</v>
      </c>
      <c r="BJ635" s="2056" t="s">
        <v>134</v>
      </c>
      <c r="BK635" s="2194">
        <f>ROUND(I635*H635,2)</f>
        <v>0</v>
      </c>
      <c r="BL635" s="2056" t="s">
        <v>856</v>
      </c>
      <c r="BM635" s="2193" t="s">
        <v>3729</v>
      </c>
    </row>
    <row r="636" spans="2:65" s="2209" customFormat="1">
      <c r="B636" s="2210"/>
      <c r="D636" s="2197" t="s">
        <v>3303</v>
      </c>
      <c r="F636" s="2212" t="s">
        <v>3730</v>
      </c>
      <c r="H636" s="2213">
        <v>779.62</v>
      </c>
      <c r="L636" s="2210"/>
      <c r="M636" s="2214"/>
      <c r="T636" s="2215"/>
      <c r="AT636" s="2211" t="s">
        <v>3303</v>
      </c>
      <c r="AU636" s="2211" t="s">
        <v>134</v>
      </c>
      <c r="AV636" s="2209" t="s">
        <v>134</v>
      </c>
      <c r="AW636" s="2209" t="s">
        <v>3148</v>
      </c>
      <c r="AX636" s="2209" t="s">
        <v>133</v>
      </c>
      <c r="AY636" s="2211" t="s">
        <v>3285</v>
      </c>
    </row>
    <row r="637" spans="2:65" s="2070" customFormat="1" ht="24.2" customHeight="1">
      <c r="B637" s="2164"/>
      <c r="C637" s="4614">
        <v>116</v>
      </c>
      <c r="D637" s="4614" t="s">
        <v>135</v>
      </c>
      <c r="E637" s="4615" t="s">
        <v>3732</v>
      </c>
      <c r="F637" s="4616" t="s">
        <v>3733</v>
      </c>
      <c r="G637" s="4617" t="s">
        <v>611</v>
      </c>
      <c r="H637" s="4618">
        <v>779.62</v>
      </c>
      <c r="I637" s="4619"/>
      <c r="J637" s="4619">
        <f>ROUND(I637*H637,2)</f>
        <v>0</v>
      </c>
      <c r="K637" s="4616" t="s">
        <v>142</v>
      </c>
      <c r="L637" s="2223"/>
      <c r="M637" s="2224" t="s">
        <v>3146</v>
      </c>
      <c r="N637" s="2225" t="s">
        <v>3181</v>
      </c>
      <c r="O637" s="2191">
        <v>0</v>
      </c>
      <c r="P637" s="2191">
        <f>O637*H637</f>
        <v>0</v>
      </c>
      <c r="Q637" s="2191">
        <v>4.1999999999999997E-3</v>
      </c>
      <c r="R637" s="2191">
        <f>Q637*H637</f>
        <v>3.2744039999999996</v>
      </c>
      <c r="S637" s="2191">
        <v>0</v>
      </c>
      <c r="T637" s="2192">
        <f>S637*H637</f>
        <v>0</v>
      </c>
      <c r="AR637" s="2193" t="s">
        <v>1363</v>
      </c>
      <c r="AT637" s="2193" t="s">
        <v>135</v>
      </c>
      <c r="AU637" s="2193" t="s">
        <v>134</v>
      </c>
      <c r="AY637" s="2056" t="s">
        <v>3285</v>
      </c>
      <c r="BE637" s="2194">
        <f>IF(N637="základní",J637,0)</f>
        <v>0</v>
      </c>
      <c r="BF637" s="2194">
        <f>IF(N637="snížená",J637,0)</f>
        <v>0</v>
      </c>
      <c r="BG637" s="2194">
        <f>IF(N637="zákl. přenesená",J637,0)</f>
        <v>0</v>
      </c>
      <c r="BH637" s="2194">
        <f>IF(N637="sníž. přenesená",J637,0)</f>
        <v>0</v>
      </c>
      <c r="BI637" s="2194">
        <f>IF(N637="nulová",J637,0)</f>
        <v>0</v>
      </c>
      <c r="BJ637" s="2056" t="s">
        <v>134</v>
      </c>
      <c r="BK637" s="2194">
        <f>ROUND(I637*H637,2)</f>
        <v>0</v>
      </c>
      <c r="BL637" s="2056" t="s">
        <v>856</v>
      </c>
      <c r="BM637" s="2193" t="s">
        <v>3734</v>
      </c>
    </row>
    <row r="638" spans="2:65" s="2209" customFormat="1">
      <c r="B638" s="2210"/>
      <c r="D638" s="2197" t="s">
        <v>3303</v>
      </c>
      <c r="F638" s="2212" t="s">
        <v>3730</v>
      </c>
      <c r="H638" s="2213">
        <v>779.62</v>
      </c>
      <c r="L638" s="2210"/>
      <c r="M638" s="2214"/>
      <c r="T638" s="2215"/>
      <c r="AT638" s="2211" t="s">
        <v>3303</v>
      </c>
      <c r="AU638" s="2211" t="s">
        <v>134</v>
      </c>
      <c r="AV638" s="2209" t="s">
        <v>134</v>
      </c>
      <c r="AW638" s="2209" t="s">
        <v>3148</v>
      </c>
      <c r="AX638" s="2209" t="s">
        <v>133</v>
      </c>
      <c r="AY638" s="2211" t="s">
        <v>3285</v>
      </c>
    </row>
    <row r="639" spans="2:65" s="2070" customFormat="1" ht="44.25" customHeight="1">
      <c r="B639" s="2164"/>
      <c r="C639" s="4608">
        <v>117</v>
      </c>
      <c r="D639" s="4608" t="s">
        <v>3286</v>
      </c>
      <c r="E639" s="4609" t="s">
        <v>10796</v>
      </c>
      <c r="F639" s="4610" t="s">
        <v>10797</v>
      </c>
      <c r="G639" s="4611" t="s">
        <v>611</v>
      </c>
      <c r="H639" s="4612">
        <v>258.82299999999998</v>
      </c>
      <c r="I639" s="4613"/>
      <c r="J639" s="4613">
        <f>ROUND(I639*H639,2)</f>
        <v>0</v>
      </c>
      <c r="K639" s="4610" t="s">
        <v>142</v>
      </c>
      <c r="L639" s="2071"/>
      <c r="M639" s="2190" t="s">
        <v>3146</v>
      </c>
      <c r="N639" s="2163" t="s">
        <v>3181</v>
      </c>
      <c r="O639" s="2191">
        <v>1.08</v>
      </c>
      <c r="P639" s="2191">
        <f>O639*H639</f>
        <v>279.52884</v>
      </c>
      <c r="Q639" s="2191">
        <v>1.1599999999999999E-2</v>
      </c>
      <c r="R639" s="2191">
        <f>Q639*H639</f>
        <v>3.0023467999999998</v>
      </c>
      <c r="S639" s="2191">
        <v>0</v>
      </c>
      <c r="T639" s="2192">
        <f>S639*H639</f>
        <v>0</v>
      </c>
      <c r="AR639" s="2193" t="s">
        <v>856</v>
      </c>
      <c r="AT639" s="2193" t="s">
        <v>3286</v>
      </c>
      <c r="AU639" s="2193" t="s">
        <v>134</v>
      </c>
      <c r="AY639" s="2056" t="s">
        <v>3285</v>
      </c>
      <c r="BE639" s="2194">
        <f>IF(N639="základní",J639,0)</f>
        <v>0</v>
      </c>
      <c r="BF639" s="2194">
        <f>IF(N639="snížená",J639,0)</f>
        <v>0</v>
      </c>
      <c r="BG639" s="2194">
        <f>IF(N639="zákl. přenesená",J639,0)</f>
        <v>0</v>
      </c>
      <c r="BH639" s="2194">
        <f>IF(N639="sníž. přenesená",J639,0)</f>
        <v>0</v>
      </c>
      <c r="BI639" s="2194">
        <f>IF(N639="nulová",J639,0)</f>
        <v>0</v>
      </c>
      <c r="BJ639" s="2056" t="s">
        <v>134</v>
      </c>
      <c r="BK639" s="2194">
        <f>ROUND(I639*H639,2)</f>
        <v>0</v>
      </c>
      <c r="BL639" s="2056" t="s">
        <v>856</v>
      </c>
      <c r="BM639" s="2193" t="s">
        <v>10798</v>
      </c>
    </row>
    <row r="640" spans="2:65" s="2195" customFormat="1">
      <c r="B640" s="2196"/>
      <c r="D640" s="2197" t="s">
        <v>3303</v>
      </c>
      <c r="E640" s="2198" t="s">
        <v>3146</v>
      </c>
      <c r="F640" s="2199" t="s">
        <v>10799</v>
      </c>
      <c r="H640" s="2198" t="s">
        <v>3146</v>
      </c>
      <c r="L640" s="2196"/>
      <c r="M640" s="2200"/>
      <c r="T640" s="2201"/>
      <c r="AT640" s="2198" t="s">
        <v>3303</v>
      </c>
      <c r="AU640" s="2198" t="s">
        <v>134</v>
      </c>
      <c r="AV640" s="2195" t="s">
        <v>133</v>
      </c>
      <c r="AW640" s="2195" t="s">
        <v>3171</v>
      </c>
      <c r="AX640" s="2195" t="s">
        <v>3213</v>
      </c>
      <c r="AY640" s="2198" t="s">
        <v>3285</v>
      </c>
    </row>
    <row r="641" spans="2:65" s="2209" customFormat="1">
      <c r="B641" s="2210"/>
      <c r="D641" s="2197" t="s">
        <v>3303</v>
      </c>
      <c r="E641" s="2211" t="s">
        <v>3146</v>
      </c>
      <c r="F641" s="2212" t="s">
        <v>10800</v>
      </c>
      <c r="H641" s="2213">
        <v>258.82299999999998</v>
      </c>
      <c r="L641" s="2210"/>
      <c r="M641" s="2214"/>
      <c r="T641" s="2215"/>
      <c r="AT641" s="2211" t="s">
        <v>3303</v>
      </c>
      <c r="AU641" s="2211" t="s">
        <v>134</v>
      </c>
      <c r="AV641" s="2209" t="s">
        <v>134</v>
      </c>
      <c r="AW641" s="2209" t="s">
        <v>3171</v>
      </c>
      <c r="AX641" s="2209" t="s">
        <v>3213</v>
      </c>
      <c r="AY641" s="2211" t="s">
        <v>3285</v>
      </c>
    </row>
    <row r="642" spans="2:65" s="2216" customFormat="1">
      <c r="B642" s="2217"/>
      <c r="D642" s="2197" t="s">
        <v>3303</v>
      </c>
      <c r="E642" s="2218" t="s">
        <v>3146</v>
      </c>
      <c r="F642" s="2219" t="s">
        <v>3306</v>
      </c>
      <c r="H642" s="2220">
        <v>258.82299999999998</v>
      </c>
      <c r="L642" s="2217"/>
      <c r="M642" s="2221"/>
      <c r="T642" s="2222"/>
      <c r="AT642" s="2218" t="s">
        <v>3303</v>
      </c>
      <c r="AU642" s="2218" t="s">
        <v>134</v>
      </c>
      <c r="AV642" s="2216" t="s">
        <v>856</v>
      </c>
      <c r="AW642" s="2216" t="s">
        <v>3171</v>
      </c>
      <c r="AX642" s="2216" t="s">
        <v>133</v>
      </c>
      <c r="AY642" s="2218" t="s">
        <v>3285</v>
      </c>
    </row>
    <row r="643" spans="2:65" s="2070" customFormat="1" ht="24.2" customHeight="1">
      <c r="B643" s="2164"/>
      <c r="C643" s="4614">
        <v>118</v>
      </c>
      <c r="D643" s="4614" t="s">
        <v>135</v>
      </c>
      <c r="E643" s="4615" t="s">
        <v>10801</v>
      </c>
      <c r="F643" s="4616" t="s">
        <v>10802</v>
      </c>
      <c r="G643" s="4617" t="s">
        <v>611</v>
      </c>
      <c r="H643" s="4618">
        <v>271.76400000000001</v>
      </c>
      <c r="I643" s="4619"/>
      <c r="J643" s="4619">
        <f>ROUND(I643*H643,2)</f>
        <v>0</v>
      </c>
      <c r="K643" s="4616" t="s">
        <v>142</v>
      </c>
      <c r="L643" s="2223"/>
      <c r="M643" s="2224" t="s">
        <v>3146</v>
      </c>
      <c r="N643" s="2225" t="s">
        <v>3181</v>
      </c>
      <c r="O643" s="2191">
        <v>0</v>
      </c>
      <c r="P643" s="2191">
        <f>O643*H643</f>
        <v>0</v>
      </c>
      <c r="Q643" s="2191">
        <v>1.7999999999999999E-2</v>
      </c>
      <c r="R643" s="2191">
        <f>Q643*H643</f>
        <v>4.8917519999999994</v>
      </c>
      <c r="S643" s="2191">
        <v>0</v>
      </c>
      <c r="T643" s="2192">
        <f>S643*H643</f>
        <v>0</v>
      </c>
      <c r="AR643" s="2193" t="s">
        <v>1363</v>
      </c>
      <c r="AT643" s="2193" t="s">
        <v>135</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10803</v>
      </c>
    </row>
    <row r="644" spans="2:65" s="2209" customFormat="1">
      <c r="B644" s="2210"/>
      <c r="D644" s="2197" t="s">
        <v>3303</v>
      </c>
      <c r="F644" s="2212" t="s">
        <v>10804</v>
      </c>
      <c r="H644" s="2213">
        <v>271.76400000000001</v>
      </c>
      <c r="L644" s="2210"/>
      <c r="M644" s="2214"/>
      <c r="T644" s="2215"/>
      <c r="AT644" s="2211" t="s">
        <v>3303</v>
      </c>
      <c r="AU644" s="2211" t="s">
        <v>134</v>
      </c>
      <c r="AV644" s="2209" t="s">
        <v>134</v>
      </c>
      <c r="AW644" s="2209" t="s">
        <v>3148</v>
      </c>
      <c r="AX644" s="2209" t="s">
        <v>133</v>
      </c>
      <c r="AY644" s="2211" t="s">
        <v>3285</v>
      </c>
    </row>
    <row r="645" spans="2:65" s="2070" customFormat="1" ht="49.15" customHeight="1">
      <c r="B645" s="2164"/>
      <c r="C645" s="4608">
        <v>119</v>
      </c>
      <c r="D645" s="4608" t="s">
        <v>3286</v>
      </c>
      <c r="E645" s="4609" t="s">
        <v>3736</v>
      </c>
      <c r="F645" s="4610" t="s">
        <v>3737</v>
      </c>
      <c r="G645" s="4611" t="s">
        <v>611</v>
      </c>
      <c r="H645" s="4612">
        <v>18.347999999999999</v>
      </c>
      <c r="I645" s="4613"/>
      <c r="J645" s="4613">
        <f>ROUND(I645*H645,2)</f>
        <v>0</v>
      </c>
      <c r="K645" s="4610" t="s">
        <v>142</v>
      </c>
      <c r="L645" s="2071"/>
      <c r="M645" s="2190" t="s">
        <v>3146</v>
      </c>
      <c r="N645" s="2163" t="s">
        <v>3181</v>
      </c>
      <c r="O645" s="2191">
        <v>1.1000000000000001</v>
      </c>
      <c r="P645" s="2191">
        <f>O645*H645</f>
        <v>20.1828</v>
      </c>
      <c r="Q645" s="2191">
        <v>1.1679999999999999E-2</v>
      </c>
      <c r="R645" s="2191">
        <f>Q645*H645</f>
        <v>0.21430463999999999</v>
      </c>
      <c r="S645" s="2191">
        <v>0</v>
      </c>
      <c r="T645" s="2192">
        <f>S645*H645</f>
        <v>0</v>
      </c>
      <c r="AR645" s="2193" t="s">
        <v>856</v>
      </c>
      <c r="AT645" s="2193" t="s">
        <v>3286</v>
      </c>
      <c r="AU645" s="2193" t="s">
        <v>134</v>
      </c>
      <c r="AY645" s="2056" t="s">
        <v>3285</v>
      </c>
      <c r="BE645" s="2194">
        <f>IF(N645="základní",J645,0)</f>
        <v>0</v>
      </c>
      <c r="BF645" s="2194">
        <f>IF(N645="snížená",J645,0)</f>
        <v>0</v>
      </c>
      <c r="BG645" s="2194">
        <f>IF(N645="zákl. přenesená",J645,0)</f>
        <v>0</v>
      </c>
      <c r="BH645" s="2194">
        <f>IF(N645="sníž. přenesená",J645,0)</f>
        <v>0</v>
      </c>
      <c r="BI645" s="2194">
        <f>IF(N645="nulová",J645,0)</f>
        <v>0</v>
      </c>
      <c r="BJ645" s="2056" t="s">
        <v>134</v>
      </c>
      <c r="BK645" s="2194">
        <f>ROUND(I645*H645,2)</f>
        <v>0</v>
      </c>
      <c r="BL645" s="2056" t="s">
        <v>856</v>
      </c>
      <c r="BM645" s="2193" t="s">
        <v>3738</v>
      </c>
    </row>
    <row r="646" spans="2:65" s="2209" customFormat="1">
      <c r="B646" s="2210"/>
      <c r="D646" s="2197" t="s">
        <v>3303</v>
      </c>
      <c r="E646" s="2211" t="s">
        <v>3146</v>
      </c>
      <c r="F646" s="2212" t="s">
        <v>3739</v>
      </c>
      <c r="H646" s="2213">
        <v>18.347999999999999</v>
      </c>
      <c r="L646" s="2210"/>
      <c r="M646" s="2214"/>
      <c r="T646" s="2215"/>
      <c r="AT646" s="2211" t="s">
        <v>3303</v>
      </c>
      <c r="AU646" s="2211" t="s">
        <v>134</v>
      </c>
      <c r="AV646" s="2209" t="s">
        <v>134</v>
      </c>
      <c r="AW646" s="2209" t="s">
        <v>3171</v>
      </c>
      <c r="AX646" s="2209" t="s">
        <v>3213</v>
      </c>
      <c r="AY646" s="2211" t="s">
        <v>3285</v>
      </c>
    </row>
    <row r="647" spans="2:65" s="2216" customFormat="1">
      <c r="B647" s="2217"/>
      <c r="D647" s="2197" t="s">
        <v>3303</v>
      </c>
      <c r="E647" s="2218" t="s">
        <v>3146</v>
      </c>
      <c r="F647" s="2219" t="s">
        <v>3306</v>
      </c>
      <c r="H647" s="2220">
        <v>18.347999999999999</v>
      </c>
      <c r="L647" s="2217"/>
      <c r="M647" s="2221"/>
      <c r="T647" s="2222"/>
      <c r="AT647" s="2218" t="s">
        <v>3303</v>
      </c>
      <c r="AU647" s="2218" t="s">
        <v>134</v>
      </c>
      <c r="AV647" s="2216" t="s">
        <v>856</v>
      </c>
      <c r="AW647" s="2216" t="s">
        <v>3171</v>
      </c>
      <c r="AX647" s="2216" t="s">
        <v>133</v>
      </c>
      <c r="AY647" s="2218" t="s">
        <v>3285</v>
      </c>
    </row>
    <row r="648" spans="2:65" s="2070" customFormat="1" ht="24.2" customHeight="1">
      <c r="B648" s="2164"/>
      <c r="C648" s="4614">
        <v>120</v>
      </c>
      <c r="D648" s="4614" t="s">
        <v>135</v>
      </c>
      <c r="E648" s="4615" t="s">
        <v>3698</v>
      </c>
      <c r="F648" s="4616" t="s">
        <v>3699</v>
      </c>
      <c r="G648" s="4617" t="s">
        <v>611</v>
      </c>
      <c r="H648" s="4618">
        <v>19.265000000000001</v>
      </c>
      <c r="I648" s="4619"/>
      <c r="J648" s="4619">
        <f>ROUND(I648*H648,2)</f>
        <v>0</v>
      </c>
      <c r="K648" s="4616" t="s">
        <v>142</v>
      </c>
      <c r="L648" s="2223"/>
      <c r="M648" s="2224" t="s">
        <v>3146</v>
      </c>
      <c r="N648" s="2225" t="s">
        <v>3181</v>
      </c>
      <c r="O648" s="2191">
        <v>0</v>
      </c>
      <c r="P648" s="2191">
        <f>O648*H648</f>
        <v>0</v>
      </c>
      <c r="Q648" s="2191">
        <v>2.1000000000000001E-2</v>
      </c>
      <c r="R648" s="2191">
        <f>Q648*H648</f>
        <v>0.40456500000000006</v>
      </c>
      <c r="S648" s="2191">
        <v>0</v>
      </c>
      <c r="T648" s="2192">
        <f>S648*H648</f>
        <v>0</v>
      </c>
      <c r="AR648" s="2193" t="s">
        <v>1363</v>
      </c>
      <c r="AT648" s="2193" t="s">
        <v>135</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856</v>
      </c>
      <c r="BM648" s="2193" t="s">
        <v>3741</v>
      </c>
    </row>
    <row r="649" spans="2:65" s="2209" customFormat="1">
      <c r="B649" s="2210"/>
      <c r="D649" s="2197" t="s">
        <v>3303</v>
      </c>
      <c r="F649" s="2212" t="s">
        <v>3742</v>
      </c>
      <c r="H649" s="2213">
        <v>19.265000000000001</v>
      </c>
      <c r="L649" s="2210"/>
      <c r="M649" s="2214"/>
      <c r="T649" s="2215"/>
      <c r="AT649" s="2211" t="s">
        <v>3303</v>
      </c>
      <c r="AU649" s="2211" t="s">
        <v>134</v>
      </c>
      <c r="AV649" s="2209" t="s">
        <v>134</v>
      </c>
      <c r="AW649" s="2209" t="s">
        <v>3148</v>
      </c>
      <c r="AX649" s="2209" t="s">
        <v>133</v>
      </c>
      <c r="AY649" s="2211" t="s">
        <v>3285</v>
      </c>
    </row>
    <row r="650" spans="2:65" s="2070" customFormat="1" ht="44.25" customHeight="1">
      <c r="B650" s="2164"/>
      <c r="C650" s="4608">
        <v>121</v>
      </c>
      <c r="D650" s="4608" t="s">
        <v>3286</v>
      </c>
      <c r="E650" s="4609" t="s">
        <v>3744</v>
      </c>
      <c r="F650" s="4610" t="s">
        <v>3745</v>
      </c>
      <c r="G650" s="4611" t="s">
        <v>611</v>
      </c>
      <c r="H650" s="4612">
        <v>1541.4</v>
      </c>
      <c r="I650" s="4613"/>
      <c r="J650" s="4613">
        <f>ROUND(I650*H650,2)</f>
        <v>0</v>
      </c>
      <c r="K650" s="4610" t="s">
        <v>142</v>
      </c>
      <c r="L650" s="2071"/>
      <c r="M650" s="2190" t="s">
        <v>3146</v>
      </c>
      <c r="N650" s="2163" t="s">
        <v>3181</v>
      </c>
      <c r="O650" s="2191">
        <v>1.1399999999999999</v>
      </c>
      <c r="P650" s="2191">
        <f>O650*H650</f>
        <v>1757.1959999999999</v>
      </c>
      <c r="Q650" s="2191">
        <v>1.184E-2</v>
      </c>
      <c r="R650" s="2191">
        <f>Q650*H650</f>
        <v>18.250176</v>
      </c>
      <c r="S650" s="2191">
        <v>0</v>
      </c>
      <c r="T650" s="2192">
        <f>S650*H650</f>
        <v>0</v>
      </c>
      <c r="AR650" s="2193" t="s">
        <v>856</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856</v>
      </c>
      <c r="BM650" s="2193" t="s">
        <v>3746</v>
      </c>
    </row>
    <row r="651" spans="2:65" s="2195" customFormat="1">
      <c r="B651" s="2196"/>
      <c r="D651" s="2197" t="s">
        <v>3303</v>
      </c>
      <c r="E651" s="2198" t="s">
        <v>3146</v>
      </c>
      <c r="F651" s="2199" t="s">
        <v>3747</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3748</v>
      </c>
      <c r="H652" s="2213">
        <v>1541.4</v>
      </c>
      <c r="L652" s="2210"/>
      <c r="M652" s="2214"/>
      <c r="T652" s="2215"/>
      <c r="AT652" s="2211" t="s">
        <v>3303</v>
      </c>
      <c r="AU652" s="2211" t="s">
        <v>134</v>
      </c>
      <c r="AV652" s="2209" t="s">
        <v>134</v>
      </c>
      <c r="AW652" s="2209" t="s">
        <v>3171</v>
      </c>
      <c r="AX652" s="2209" t="s">
        <v>3213</v>
      </c>
      <c r="AY652" s="2211" t="s">
        <v>3285</v>
      </c>
    </row>
    <row r="653" spans="2:65" s="2216" customFormat="1">
      <c r="B653" s="2217"/>
      <c r="D653" s="2197" t="s">
        <v>3303</v>
      </c>
      <c r="E653" s="2218" t="s">
        <v>3146</v>
      </c>
      <c r="F653" s="2219" t="s">
        <v>3306</v>
      </c>
      <c r="H653" s="2220">
        <v>1541.4</v>
      </c>
      <c r="L653" s="2217"/>
      <c r="M653" s="2221"/>
      <c r="T653" s="2222"/>
      <c r="AT653" s="2218" t="s">
        <v>3303</v>
      </c>
      <c r="AU653" s="2218" t="s">
        <v>134</v>
      </c>
      <c r="AV653" s="2216" t="s">
        <v>856</v>
      </c>
      <c r="AW653" s="2216" t="s">
        <v>3171</v>
      </c>
      <c r="AX653" s="2216" t="s">
        <v>133</v>
      </c>
      <c r="AY653" s="2218" t="s">
        <v>3285</v>
      </c>
    </row>
    <row r="654" spans="2:65" s="2070" customFormat="1" ht="24.2" customHeight="1">
      <c r="B654" s="2164"/>
      <c r="C654" s="4614">
        <v>122</v>
      </c>
      <c r="D654" s="4614" t="s">
        <v>135</v>
      </c>
      <c r="E654" s="4615" t="s">
        <v>3750</v>
      </c>
      <c r="F654" s="4616" t="s">
        <v>3751</v>
      </c>
      <c r="G654" s="4617" t="s">
        <v>611</v>
      </c>
      <c r="H654" s="4618">
        <v>1664.712</v>
      </c>
      <c r="I654" s="4619"/>
      <c r="J654" s="4619">
        <f>ROUND(I654*H654,2)</f>
        <v>0</v>
      </c>
      <c r="K654" s="4616" t="s">
        <v>142</v>
      </c>
      <c r="L654" s="2223"/>
      <c r="M654" s="2224" t="s">
        <v>3146</v>
      </c>
      <c r="N654" s="2225" t="s">
        <v>3181</v>
      </c>
      <c r="O654" s="2191">
        <v>0</v>
      </c>
      <c r="P654" s="2191">
        <f>O654*H654</f>
        <v>0</v>
      </c>
      <c r="Q654" s="2191">
        <v>2.9499999999999998E-2</v>
      </c>
      <c r="R654" s="2191">
        <f>Q654*H654</f>
        <v>49.109003999999999</v>
      </c>
      <c r="S654" s="2191">
        <v>0</v>
      </c>
      <c r="T654" s="2192">
        <f>S654*H654</f>
        <v>0</v>
      </c>
      <c r="AR654" s="2193" t="s">
        <v>1363</v>
      </c>
      <c r="AT654" s="2193" t="s">
        <v>135</v>
      </c>
      <c r="AU654" s="2193" t="s">
        <v>134</v>
      </c>
      <c r="AY654" s="2056" t="s">
        <v>3285</v>
      </c>
      <c r="BE654" s="2194">
        <f>IF(N654="základní",J654,0)</f>
        <v>0</v>
      </c>
      <c r="BF654" s="2194">
        <f>IF(N654="snížená",J654,0)</f>
        <v>0</v>
      </c>
      <c r="BG654" s="2194">
        <f>IF(N654="zákl. přenesená",J654,0)</f>
        <v>0</v>
      </c>
      <c r="BH654" s="2194">
        <f>IF(N654="sníž. přenesená",J654,0)</f>
        <v>0</v>
      </c>
      <c r="BI654" s="2194">
        <f>IF(N654="nulová",J654,0)</f>
        <v>0</v>
      </c>
      <c r="BJ654" s="2056" t="s">
        <v>134</v>
      </c>
      <c r="BK654" s="2194">
        <f>ROUND(I654*H654,2)</f>
        <v>0</v>
      </c>
      <c r="BL654" s="2056" t="s">
        <v>856</v>
      </c>
      <c r="BM654" s="2193" t="s">
        <v>3752</v>
      </c>
    </row>
    <row r="655" spans="2:65" s="2209" customFormat="1">
      <c r="B655" s="2210"/>
      <c r="D655" s="2197" t="s">
        <v>3303</v>
      </c>
      <c r="F655" s="2212" t="s">
        <v>3753</v>
      </c>
      <c r="H655" s="2213">
        <v>1664.712</v>
      </c>
      <c r="L655" s="2210"/>
      <c r="M655" s="2214"/>
      <c r="T655" s="2215"/>
      <c r="AT655" s="2211" t="s">
        <v>3303</v>
      </c>
      <c r="AU655" s="2211" t="s">
        <v>134</v>
      </c>
      <c r="AV655" s="2209" t="s">
        <v>134</v>
      </c>
      <c r="AW655" s="2209" t="s">
        <v>3148</v>
      </c>
      <c r="AX655" s="2209" t="s">
        <v>133</v>
      </c>
      <c r="AY655" s="2211" t="s">
        <v>3285</v>
      </c>
    </row>
    <row r="656" spans="2:65" s="2070" customFormat="1" ht="37.9" customHeight="1">
      <c r="B656" s="2164"/>
      <c r="C656" s="4608">
        <v>123</v>
      </c>
      <c r="D656" s="4608" t="s">
        <v>3286</v>
      </c>
      <c r="E656" s="4609" t="s">
        <v>3755</v>
      </c>
      <c r="F656" s="4610" t="s">
        <v>3756</v>
      </c>
      <c r="G656" s="4611" t="s">
        <v>611</v>
      </c>
      <c r="H656" s="4612">
        <v>836.30799999999999</v>
      </c>
      <c r="I656" s="4613"/>
      <c r="J656" s="4613">
        <f>ROUND(I656*H656,2)</f>
        <v>0</v>
      </c>
      <c r="K656" s="4610" t="s">
        <v>142</v>
      </c>
      <c r="L656" s="2071"/>
      <c r="M656" s="2190" t="s">
        <v>3146</v>
      </c>
      <c r="N656" s="2163" t="s">
        <v>3181</v>
      </c>
      <c r="O656" s="2191">
        <v>4.3999999999999997E-2</v>
      </c>
      <c r="P656" s="2191">
        <f>O656*H656</f>
        <v>36.797551999999996</v>
      </c>
      <c r="Q656" s="2191">
        <v>8.0000000000000007E-5</v>
      </c>
      <c r="R656" s="2191">
        <f>Q656*H656</f>
        <v>6.6904640000000001E-2</v>
      </c>
      <c r="S656" s="2191">
        <v>0</v>
      </c>
      <c r="T656" s="2192">
        <f>S656*H656</f>
        <v>0</v>
      </c>
      <c r="AR656" s="2193" t="s">
        <v>856</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856</v>
      </c>
      <c r="BM656" s="2193" t="s">
        <v>3757</v>
      </c>
    </row>
    <row r="657" spans="2:65" s="2209" customFormat="1">
      <c r="B657" s="2210"/>
      <c r="D657" s="2197" t="s">
        <v>3303</v>
      </c>
      <c r="E657" s="2211" t="s">
        <v>3146</v>
      </c>
      <c r="F657" s="2212" t="s">
        <v>3758</v>
      </c>
      <c r="H657" s="2213">
        <v>836.30799999999999</v>
      </c>
      <c r="L657" s="2210"/>
      <c r="M657" s="2214"/>
      <c r="T657" s="2215"/>
      <c r="AT657" s="2211" t="s">
        <v>3303</v>
      </c>
      <c r="AU657" s="2211" t="s">
        <v>134</v>
      </c>
      <c r="AV657" s="2209" t="s">
        <v>134</v>
      </c>
      <c r="AW657" s="2209" t="s">
        <v>3171</v>
      </c>
      <c r="AX657" s="2209" t="s">
        <v>3213</v>
      </c>
      <c r="AY657" s="2211" t="s">
        <v>3285</v>
      </c>
    </row>
    <row r="658" spans="2:65" s="2216" customFormat="1">
      <c r="B658" s="2217"/>
      <c r="D658" s="2197" t="s">
        <v>3303</v>
      </c>
      <c r="E658" s="2218" t="s">
        <v>3146</v>
      </c>
      <c r="F658" s="2219" t="s">
        <v>3306</v>
      </c>
      <c r="H658" s="2220">
        <v>836.30799999999999</v>
      </c>
      <c r="L658" s="2217"/>
      <c r="M658" s="2221"/>
      <c r="T658" s="2222"/>
      <c r="AT658" s="2218" t="s">
        <v>3303</v>
      </c>
      <c r="AU658" s="2218" t="s">
        <v>134</v>
      </c>
      <c r="AV658" s="2216" t="s">
        <v>856</v>
      </c>
      <c r="AW658" s="2216" t="s">
        <v>3171</v>
      </c>
      <c r="AX658" s="2216" t="s">
        <v>133</v>
      </c>
      <c r="AY658" s="2218" t="s">
        <v>3285</v>
      </c>
    </row>
    <row r="659" spans="2:65" s="2070" customFormat="1" ht="37.9" customHeight="1">
      <c r="B659" s="2164"/>
      <c r="C659" s="4608">
        <v>124</v>
      </c>
      <c r="D659" s="4608" t="s">
        <v>3286</v>
      </c>
      <c r="E659" s="4609" t="s">
        <v>3760</v>
      </c>
      <c r="F659" s="4610" t="s">
        <v>3761</v>
      </c>
      <c r="G659" s="4611" t="s">
        <v>611</v>
      </c>
      <c r="H659" s="4612">
        <v>1541.4</v>
      </c>
      <c r="I659" s="4613"/>
      <c r="J659" s="4613">
        <f>ROUND(I659*H659,2)</f>
        <v>0</v>
      </c>
      <c r="K659" s="4610" t="s">
        <v>142</v>
      </c>
      <c r="L659" s="2071"/>
      <c r="M659" s="2190" t="s">
        <v>3146</v>
      </c>
      <c r="N659" s="2163" t="s">
        <v>3181</v>
      </c>
      <c r="O659" s="2191">
        <v>4.3999999999999997E-2</v>
      </c>
      <c r="P659" s="2191">
        <f>O659*H659</f>
        <v>67.821600000000004</v>
      </c>
      <c r="Q659" s="2191">
        <v>8.0000000000000007E-5</v>
      </c>
      <c r="R659" s="2191">
        <f>Q659*H659</f>
        <v>0.12331200000000002</v>
      </c>
      <c r="S659" s="2191">
        <v>0</v>
      </c>
      <c r="T659" s="2192">
        <f>S659*H659</f>
        <v>0</v>
      </c>
      <c r="AR659" s="2193" t="s">
        <v>856</v>
      </c>
      <c r="AT659" s="2193" t="s">
        <v>3286</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3762</v>
      </c>
    </row>
    <row r="660" spans="2:65" s="2070" customFormat="1" ht="37.9" customHeight="1">
      <c r="B660" s="2164"/>
      <c r="C660" s="4608">
        <v>125</v>
      </c>
      <c r="D660" s="4608" t="s">
        <v>3286</v>
      </c>
      <c r="E660" s="4609" t="s">
        <v>3764</v>
      </c>
      <c r="F660" s="4610" t="s">
        <v>3765</v>
      </c>
      <c r="G660" s="4611" t="s">
        <v>611</v>
      </c>
      <c r="H660" s="4612">
        <v>2339.741</v>
      </c>
      <c r="I660" s="4613"/>
      <c r="J660" s="4613">
        <f>ROUND(I660*H660,2)</f>
        <v>0</v>
      </c>
      <c r="K660" s="4610" t="s">
        <v>142</v>
      </c>
      <c r="L660" s="2071"/>
      <c r="M660" s="2190" t="s">
        <v>3146</v>
      </c>
      <c r="N660" s="2163" t="s">
        <v>3181</v>
      </c>
      <c r="O660" s="2191">
        <v>0</v>
      </c>
      <c r="P660" s="2191">
        <f>O660*H660</f>
        <v>0</v>
      </c>
      <c r="Q660" s="2191">
        <v>0</v>
      </c>
      <c r="R660" s="2191">
        <f>Q660*H660</f>
        <v>0</v>
      </c>
      <c r="S660" s="2191">
        <v>0</v>
      </c>
      <c r="T660" s="2192">
        <f>S660*H660</f>
        <v>0</v>
      </c>
      <c r="AR660" s="2193" t="s">
        <v>856</v>
      </c>
      <c r="AT660" s="2193" t="s">
        <v>3286</v>
      </c>
      <c r="AU660" s="2193" t="s">
        <v>134</v>
      </c>
      <c r="AY660" s="2056" t="s">
        <v>3285</v>
      </c>
      <c r="BE660" s="2194">
        <f>IF(N660="základní",J660,0)</f>
        <v>0</v>
      </c>
      <c r="BF660" s="2194">
        <f>IF(N660="snížená",J660,0)</f>
        <v>0</v>
      </c>
      <c r="BG660" s="2194">
        <f>IF(N660="zákl. přenesená",J660,0)</f>
        <v>0</v>
      </c>
      <c r="BH660" s="2194">
        <f>IF(N660="sníž. přenesená",J660,0)</f>
        <v>0</v>
      </c>
      <c r="BI660" s="2194">
        <f>IF(N660="nulová",J660,0)</f>
        <v>0</v>
      </c>
      <c r="BJ660" s="2056" t="s">
        <v>134</v>
      </c>
      <c r="BK660" s="2194">
        <f>ROUND(I660*H660,2)</f>
        <v>0</v>
      </c>
      <c r="BL660" s="2056" t="s">
        <v>856</v>
      </c>
      <c r="BM660" s="2193" t="s">
        <v>3766</v>
      </c>
    </row>
    <row r="661" spans="2:65" s="2209" customFormat="1">
      <c r="B661" s="2210"/>
      <c r="D661" s="2197" t="s">
        <v>3303</v>
      </c>
      <c r="E661" s="2211" t="s">
        <v>3146</v>
      </c>
      <c r="F661" s="2212" t="s">
        <v>3767</v>
      </c>
      <c r="H661" s="2213">
        <v>2172.2660000000001</v>
      </c>
      <c r="L661" s="2210"/>
      <c r="M661" s="2214"/>
      <c r="T661" s="2215"/>
      <c r="AT661" s="2211" t="s">
        <v>3303</v>
      </c>
      <c r="AU661" s="2211" t="s">
        <v>134</v>
      </c>
      <c r="AV661" s="2209" t="s">
        <v>134</v>
      </c>
      <c r="AW661" s="2209" t="s">
        <v>3171</v>
      </c>
      <c r="AX661" s="2209" t="s">
        <v>3213</v>
      </c>
      <c r="AY661" s="2211" t="s">
        <v>3285</v>
      </c>
    </row>
    <row r="662" spans="2:65" s="2209" customFormat="1">
      <c r="B662" s="2210"/>
      <c r="D662" s="2197" t="s">
        <v>3303</v>
      </c>
      <c r="E662" s="2211" t="s">
        <v>3146</v>
      </c>
      <c r="F662" s="2212" t="s">
        <v>3768</v>
      </c>
      <c r="H662" s="2213">
        <v>73.58</v>
      </c>
      <c r="L662" s="2210"/>
      <c r="M662" s="2214"/>
      <c r="T662" s="2215"/>
      <c r="AT662" s="2211" t="s">
        <v>3303</v>
      </c>
      <c r="AU662" s="2211" t="s">
        <v>134</v>
      </c>
      <c r="AV662" s="2209" t="s">
        <v>134</v>
      </c>
      <c r="AW662" s="2209" t="s">
        <v>3171</v>
      </c>
      <c r="AX662" s="2209" t="s">
        <v>3213</v>
      </c>
      <c r="AY662" s="2211" t="s">
        <v>3285</v>
      </c>
    </row>
    <row r="663" spans="2:65" s="2209" customFormat="1">
      <c r="B663" s="2210"/>
      <c r="D663" s="2197" t="s">
        <v>3303</v>
      </c>
      <c r="E663" s="2211" t="s">
        <v>3146</v>
      </c>
      <c r="F663" s="2212" t="s">
        <v>3712</v>
      </c>
      <c r="H663" s="2213">
        <v>93.894999999999996</v>
      </c>
      <c r="L663" s="2210"/>
      <c r="M663" s="2214"/>
      <c r="T663" s="2215"/>
      <c r="AT663" s="2211" t="s">
        <v>3303</v>
      </c>
      <c r="AU663" s="2211" t="s">
        <v>134</v>
      </c>
      <c r="AV663" s="2209" t="s">
        <v>134</v>
      </c>
      <c r="AW663" s="2209" t="s">
        <v>3171</v>
      </c>
      <c r="AX663" s="2209" t="s">
        <v>3213</v>
      </c>
      <c r="AY663" s="2211" t="s">
        <v>3285</v>
      </c>
    </row>
    <row r="664" spans="2:65" s="2216" customFormat="1">
      <c r="B664" s="2217"/>
      <c r="D664" s="2197" t="s">
        <v>3303</v>
      </c>
      <c r="E664" s="2218" t="s">
        <v>3146</v>
      </c>
      <c r="F664" s="2219" t="s">
        <v>3306</v>
      </c>
      <c r="H664" s="2220">
        <v>2339.741</v>
      </c>
      <c r="L664" s="2217"/>
      <c r="M664" s="2221"/>
      <c r="T664" s="2222"/>
      <c r="AT664" s="2218" t="s">
        <v>3303</v>
      </c>
      <c r="AU664" s="2218" t="s">
        <v>134</v>
      </c>
      <c r="AV664" s="2216" t="s">
        <v>856</v>
      </c>
      <c r="AW664" s="2216" t="s">
        <v>3171</v>
      </c>
      <c r="AX664" s="2216" t="s">
        <v>133</v>
      </c>
      <c r="AY664" s="2218" t="s">
        <v>3285</v>
      </c>
    </row>
    <row r="665" spans="2:65" s="2070" customFormat="1" ht="24.2" customHeight="1">
      <c r="B665" s="2164"/>
      <c r="C665" s="4608">
        <v>126</v>
      </c>
      <c r="D665" s="4608" t="s">
        <v>3286</v>
      </c>
      <c r="E665" s="4609" t="s">
        <v>3770</v>
      </c>
      <c r="F665" s="4610" t="s">
        <v>3771</v>
      </c>
      <c r="G665" s="4611" t="s">
        <v>141</v>
      </c>
      <c r="H665" s="4612">
        <v>157.58000000000001</v>
      </c>
      <c r="I665" s="4613"/>
      <c r="J665" s="4613">
        <f>ROUND(I665*H665,2)</f>
        <v>0</v>
      </c>
      <c r="K665" s="4610" t="s">
        <v>142</v>
      </c>
      <c r="L665" s="2071"/>
      <c r="M665" s="2190" t="s">
        <v>3146</v>
      </c>
      <c r="N665" s="2163" t="s">
        <v>3181</v>
      </c>
      <c r="O665" s="2191">
        <v>0.23</v>
      </c>
      <c r="P665" s="2191">
        <f>O665*H665</f>
        <v>36.243400000000001</v>
      </c>
      <c r="Q665" s="2191">
        <v>3.0000000000000001E-5</v>
      </c>
      <c r="R665" s="2191">
        <f>Q665*H665</f>
        <v>4.7274000000000005E-3</v>
      </c>
      <c r="S665" s="2191">
        <v>0</v>
      </c>
      <c r="T665" s="2192">
        <f>S665*H665</f>
        <v>0</v>
      </c>
      <c r="AR665" s="2193" t="s">
        <v>856</v>
      </c>
      <c r="AT665" s="2193" t="s">
        <v>3286</v>
      </c>
      <c r="AU665" s="2193" t="s">
        <v>134</v>
      </c>
      <c r="AY665" s="2056" t="s">
        <v>3285</v>
      </c>
      <c r="BE665" s="2194">
        <f>IF(N665="základní",J665,0)</f>
        <v>0</v>
      </c>
      <c r="BF665" s="2194">
        <f>IF(N665="snížená",J665,0)</f>
        <v>0</v>
      </c>
      <c r="BG665" s="2194">
        <f>IF(N665="zákl. přenesená",J665,0)</f>
        <v>0</v>
      </c>
      <c r="BH665" s="2194">
        <f>IF(N665="sníž. přenesená",J665,0)</f>
        <v>0</v>
      </c>
      <c r="BI665" s="2194">
        <f>IF(N665="nulová",J665,0)</f>
        <v>0</v>
      </c>
      <c r="BJ665" s="2056" t="s">
        <v>134</v>
      </c>
      <c r="BK665" s="2194">
        <f>ROUND(I665*H665,2)</f>
        <v>0</v>
      </c>
      <c r="BL665" s="2056" t="s">
        <v>856</v>
      </c>
      <c r="BM665" s="2193" t="s">
        <v>3772</v>
      </c>
    </row>
    <row r="666" spans="2:65" s="2070" customFormat="1" ht="33" customHeight="1">
      <c r="B666" s="2164"/>
      <c r="C666" s="4614">
        <v>127</v>
      </c>
      <c r="D666" s="4614" t="s">
        <v>135</v>
      </c>
      <c r="E666" s="4615" t="s">
        <v>3774</v>
      </c>
      <c r="F666" s="4616" t="s">
        <v>3775</v>
      </c>
      <c r="G666" s="4617" t="s">
        <v>141</v>
      </c>
      <c r="H666" s="4618">
        <v>165.459</v>
      </c>
      <c r="I666" s="4619"/>
      <c r="J666" s="4619">
        <f>ROUND(I666*H666,2)</f>
        <v>0</v>
      </c>
      <c r="K666" s="4616" t="s">
        <v>142</v>
      </c>
      <c r="L666" s="2223"/>
      <c r="M666" s="2224" t="s">
        <v>3146</v>
      </c>
      <c r="N666" s="2225" t="s">
        <v>3181</v>
      </c>
      <c r="O666" s="2191">
        <v>0</v>
      </c>
      <c r="P666" s="2191">
        <f>O666*H666</f>
        <v>0</v>
      </c>
      <c r="Q666" s="2191">
        <v>6.8000000000000005E-4</v>
      </c>
      <c r="R666" s="2191">
        <f>Q666*H666</f>
        <v>0.11251212000000001</v>
      </c>
      <c r="S666" s="2191">
        <v>0</v>
      </c>
      <c r="T666" s="2192">
        <f>S666*H666</f>
        <v>0</v>
      </c>
      <c r="AR666" s="2193" t="s">
        <v>1363</v>
      </c>
      <c r="AT666" s="2193" t="s">
        <v>135</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3776</v>
      </c>
    </row>
    <row r="667" spans="2:65" s="2209" customFormat="1">
      <c r="B667" s="2210"/>
      <c r="D667" s="2197" t="s">
        <v>3303</v>
      </c>
      <c r="F667" s="2212" t="s">
        <v>3777</v>
      </c>
      <c r="H667" s="2213">
        <v>165.459</v>
      </c>
      <c r="L667" s="2210"/>
      <c r="M667" s="2214"/>
      <c r="T667" s="2215"/>
      <c r="AT667" s="2211" t="s">
        <v>3303</v>
      </c>
      <c r="AU667" s="2211" t="s">
        <v>134</v>
      </c>
      <c r="AV667" s="2209" t="s">
        <v>134</v>
      </c>
      <c r="AW667" s="2209" t="s">
        <v>3148</v>
      </c>
      <c r="AX667" s="2209" t="s">
        <v>133</v>
      </c>
      <c r="AY667" s="2211" t="s">
        <v>3285</v>
      </c>
    </row>
    <row r="668" spans="2:65" s="2070" customFormat="1" ht="24.2" customHeight="1">
      <c r="B668" s="2164"/>
      <c r="C668" s="4608">
        <v>128</v>
      </c>
      <c r="D668" s="4608" t="s">
        <v>3286</v>
      </c>
      <c r="E668" s="4609" t="s">
        <v>3781</v>
      </c>
      <c r="F668" s="4610" t="s">
        <v>3782</v>
      </c>
      <c r="G668" s="4611" t="s">
        <v>611</v>
      </c>
      <c r="H668" s="4612">
        <v>1900.087</v>
      </c>
      <c r="I668" s="4613"/>
      <c r="J668" s="4613">
        <f>ROUND(I668*H668,2)</f>
        <v>0</v>
      </c>
      <c r="K668" s="4610" t="s">
        <v>142</v>
      </c>
      <c r="L668" s="2071"/>
      <c r="M668" s="2190" t="s">
        <v>3146</v>
      </c>
      <c r="N668" s="2163" t="s">
        <v>3181</v>
      </c>
      <c r="O668" s="2191">
        <v>0.245</v>
      </c>
      <c r="P668" s="2191">
        <f>O668*H668</f>
        <v>465.52131500000002</v>
      </c>
      <c r="Q668" s="2191">
        <v>2.8500000000000001E-3</v>
      </c>
      <c r="R668" s="2191">
        <f>Q668*H668</f>
        <v>5.4152479500000004</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3783</v>
      </c>
    </row>
    <row r="669" spans="2:65" s="2209" customFormat="1">
      <c r="B669" s="2210"/>
      <c r="D669" s="2197" t="s">
        <v>3303</v>
      </c>
      <c r="E669" s="2211" t="s">
        <v>3146</v>
      </c>
      <c r="F669" s="2212" t="s">
        <v>3704</v>
      </c>
      <c r="H669" s="2213">
        <v>1541.4</v>
      </c>
      <c r="L669" s="2210"/>
      <c r="M669" s="2214"/>
      <c r="T669" s="2215"/>
      <c r="AT669" s="2211" t="s">
        <v>3303</v>
      </c>
      <c r="AU669" s="2211" t="s">
        <v>134</v>
      </c>
      <c r="AV669" s="2209" t="s">
        <v>134</v>
      </c>
      <c r="AW669" s="2209" t="s">
        <v>3171</v>
      </c>
      <c r="AX669" s="2209" t="s">
        <v>3213</v>
      </c>
      <c r="AY669" s="2211" t="s">
        <v>3285</v>
      </c>
    </row>
    <row r="670" spans="2:65" s="2209" customFormat="1">
      <c r="B670" s="2210"/>
      <c r="D670" s="2197" t="s">
        <v>3303</v>
      </c>
      <c r="E670" s="2211" t="s">
        <v>3146</v>
      </c>
      <c r="F670" s="2212" t="s">
        <v>3705</v>
      </c>
      <c r="H670" s="2213">
        <v>99.864000000000004</v>
      </c>
      <c r="L670" s="2210"/>
      <c r="M670" s="2214"/>
      <c r="T670" s="2215"/>
      <c r="AT670" s="2211" t="s">
        <v>3303</v>
      </c>
      <c r="AU670" s="2211" t="s">
        <v>134</v>
      </c>
      <c r="AV670" s="2209" t="s">
        <v>134</v>
      </c>
      <c r="AW670" s="2209" t="s">
        <v>3171</v>
      </c>
      <c r="AX670" s="2209" t="s">
        <v>3213</v>
      </c>
      <c r="AY670" s="2211" t="s">
        <v>3285</v>
      </c>
    </row>
    <row r="671" spans="2:65" s="2209" customFormat="1">
      <c r="B671" s="2210"/>
      <c r="D671" s="2197" t="s">
        <v>3303</v>
      </c>
      <c r="E671" s="2211" t="s">
        <v>3146</v>
      </c>
      <c r="F671" s="2212" t="s">
        <v>10805</v>
      </c>
      <c r="H671" s="2213">
        <v>258.82299999999998</v>
      </c>
      <c r="L671" s="2210"/>
      <c r="M671" s="2214"/>
      <c r="T671" s="2215"/>
      <c r="AT671" s="2211" t="s">
        <v>3303</v>
      </c>
      <c r="AU671" s="2211" t="s">
        <v>134</v>
      </c>
      <c r="AV671" s="2209" t="s">
        <v>134</v>
      </c>
      <c r="AW671" s="2209" t="s">
        <v>3171</v>
      </c>
      <c r="AX671" s="2209" t="s">
        <v>3213</v>
      </c>
      <c r="AY671" s="2211" t="s">
        <v>3285</v>
      </c>
    </row>
    <row r="672" spans="2:65" s="2216" customFormat="1">
      <c r="B672" s="2217"/>
      <c r="D672" s="2197" t="s">
        <v>3303</v>
      </c>
      <c r="E672" s="2218" t="s">
        <v>3146</v>
      </c>
      <c r="F672" s="2219" t="s">
        <v>3306</v>
      </c>
      <c r="H672" s="2220">
        <v>1900.087</v>
      </c>
      <c r="L672" s="2217"/>
      <c r="M672" s="2221"/>
      <c r="T672" s="2222"/>
      <c r="AT672" s="2218" t="s">
        <v>3303</v>
      </c>
      <c r="AU672" s="2218" t="s">
        <v>134</v>
      </c>
      <c r="AV672" s="2216" t="s">
        <v>856</v>
      </c>
      <c r="AW672" s="2216" t="s">
        <v>3171</v>
      </c>
      <c r="AX672" s="2216" t="s">
        <v>133</v>
      </c>
      <c r="AY672" s="2218" t="s">
        <v>3285</v>
      </c>
    </row>
    <row r="673" spans="2:65" s="2070" customFormat="1" ht="24.2" customHeight="1">
      <c r="B673" s="2164"/>
      <c r="C673" s="4608">
        <v>129</v>
      </c>
      <c r="D673" s="4608" t="s">
        <v>3286</v>
      </c>
      <c r="E673" s="4609" t="s">
        <v>3785</v>
      </c>
      <c r="F673" s="4610" t="s">
        <v>3786</v>
      </c>
      <c r="G673" s="4611" t="s">
        <v>611</v>
      </c>
      <c r="H673" s="4612">
        <v>16.367999999999999</v>
      </c>
      <c r="I673" s="4613"/>
      <c r="J673" s="4613">
        <f>ROUND(I673*H673,2)</f>
        <v>0</v>
      </c>
      <c r="K673" s="4610" t="s">
        <v>142</v>
      </c>
      <c r="L673" s="2071"/>
      <c r="M673" s="2190" t="s">
        <v>3146</v>
      </c>
      <c r="N673" s="2163" t="s">
        <v>3181</v>
      </c>
      <c r="O673" s="2191">
        <v>8.1000000000000003E-2</v>
      </c>
      <c r="P673" s="2191">
        <f>O673*H673</f>
        <v>1.3258079999999999</v>
      </c>
      <c r="Q673" s="2191">
        <v>1.3999999999999999E-4</v>
      </c>
      <c r="R673" s="2191">
        <f>Q673*H673</f>
        <v>2.2915199999999996E-3</v>
      </c>
      <c r="S673" s="2191">
        <v>0</v>
      </c>
      <c r="T673" s="2192">
        <f>S673*H673</f>
        <v>0</v>
      </c>
      <c r="AR673" s="2193" t="s">
        <v>856</v>
      </c>
      <c r="AT673" s="2193" t="s">
        <v>3286</v>
      </c>
      <c r="AU673" s="2193" t="s">
        <v>134</v>
      </c>
      <c r="AY673" s="2056" t="s">
        <v>3285</v>
      </c>
      <c r="BE673" s="2194">
        <f>IF(N673="základní",J673,0)</f>
        <v>0</v>
      </c>
      <c r="BF673" s="2194">
        <f>IF(N673="snížená",J673,0)</f>
        <v>0</v>
      </c>
      <c r="BG673" s="2194">
        <f>IF(N673="zákl. přenesená",J673,0)</f>
        <v>0</v>
      </c>
      <c r="BH673" s="2194">
        <f>IF(N673="sníž. přenesená",J673,0)</f>
        <v>0</v>
      </c>
      <c r="BI673" s="2194">
        <f>IF(N673="nulová",J673,0)</f>
        <v>0</v>
      </c>
      <c r="BJ673" s="2056" t="s">
        <v>134</v>
      </c>
      <c r="BK673" s="2194">
        <f>ROUND(I673*H673,2)</f>
        <v>0</v>
      </c>
      <c r="BL673" s="2056" t="s">
        <v>856</v>
      </c>
      <c r="BM673" s="2193" t="s">
        <v>3787</v>
      </c>
    </row>
    <row r="674" spans="2:65" s="2070" customFormat="1" ht="24.2" customHeight="1">
      <c r="B674" s="2164"/>
      <c r="C674" s="4608">
        <v>130</v>
      </c>
      <c r="D674" s="4608" t="s">
        <v>3286</v>
      </c>
      <c r="E674" s="4609" t="s">
        <v>3789</v>
      </c>
      <c r="F674" s="4610" t="s">
        <v>3790</v>
      </c>
      <c r="G674" s="4611" t="s">
        <v>611</v>
      </c>
      <c r="H674" s="4612">
        <v>16.367999999999999</v>
      </c>
      <c r="I674" s="4613"/>
      <c r="J674" s="4613">
        <f>ROUND(I674*H674,2)</f>
        <v>0</v>
      </c>
      <c r="K674" s="4610" t="s">
        <v>142</v>
      </c>
      <c r="L674" s="2071"/>
      <c r="M674" s="2190" t="s">
        <v>3146</v>
      </c>
      <c r="N674" s="2163" t="s">
        <v>3181</v>
      </c>
      <c r="O674" s="2191">
        <v>0.38500000000000001</v>
      </c>
      <c r="P674" s="2191">
        <f>O674*H674</f>
        <v>6.3016799999999993</v>
      </c>
      <c r="Q674" s="2191">
        <v>2.8500000000000001E-3</v>
      </c>
      <c r="R674" s="2191">
        <f>Q674*H674</f>
        <v>4.6648799999999997E-2</v>
      </c>
      <c r="S674" s="2191">
        <v>0</v>
      </c>
      <c r="T674" s="2192">
        <f>S674*H674</f>
        <v>0</v>
      </c>
      <c r="AR674" s="2193" t="s">
        <v>856</v>
      </c>
      <c r="AT674" s="2193" t="s">
        <v>3286</v>
      </c>
      <c r="AU674" s="2193" t="s">
        <v>134</v>
      </c>
      <c r="AY674" s="2056" t="s">
        <v>3285</v>
      </c>
      <c r="BE674" s="2194">
        <f>IF(N674="základní",J674,0)</f>
        <v>0</v>
      </c>
      <c r="BF674" s="2194">
        <f>IF(N674="snížená",J674,0)</f>
        <v>0</v>
      </c>
      <c r="BG674" s="2194">
        <f>IF(N674="zákl. přenesená",J674,0)</f>
        <v>0</v>
      </c>
      <c r="BH674" s="2194">
        <f>IF(N674="sníž. přenesená",J674,0)</f>
        <v>0</v>
      </c>
      <c r="BI674" s="2194">
        <f>IF(N674="nulová",J674,0)</f>
        <v>0</v>
      </c>
      <c r="BJ674" s="2056" t="s">
        <v>134</v>
      </c>
      <c r="BK674" s="2194">
        <f>ROUND(I674*H674,2)</f>
        <v>0</v>
      </c>
      <c r="BL674" s="2056" t="s">
        <v>856</v>
      </c>
      <c r="BM674" s="2193" t="s">
        <v>3791</v>
      </c>
    </row>
    <row r="675" spans="2:65" s="2070" customFormat="1" ht="16.5" customHeight="1">
      <c r="B675" s="2164"/>
      <c r="C675" s="4608">
        <v>131</v>
      </c>
      <c r="D675" s="4608" t="s">
        <v>3286</v>
      </c>
      <c r="E675" s="4609" t="s">
        <v>3793</v>
      </c>
      <c r="F675" s="4610" t="s">
        <v>3794</v>
      </c>
      <c r="G675" s="4611" t="s">
        <v>3795</v>
      </c>
      <c r="H675" s="4612">
        <v>3</v>
      </c>
      <c r="I675" s="4613"/>
      <c r="J675" s="4613">
        <f>ROUND(I675*H675,2)</f>
        <v>0</v>
      </c>
      <c r="K675" s="4610" t="s">
        <v>3146</v>
      </c>
      <c r="L675" s="2071"/>
      <c r="M675" s="2190" t="s">
        <v>3146</v>
      </c>
      <c r="N675" s="2163" t="s">
        <v>3181</v>
      </c>
      <c r="O675" s="2191">
        <v>0</v>
      </c>
      <c r="P675" s="2191">
        <f>O675*H675</f>
        <v>0</v>
      </c>
      <c r="Q675" s="2191">
        <v>0</v>
      </c>
      <c r="R675" s="2191">
        <f>Q675*H675</f>
        <v>0</v>
      </c>
      <c r="S675" s="2191">
        <v>0</v>
      </c>
      <c r="T675" s="2192">
        <f>S675*H675</f>
        <v>0</v>
      </c>
      <c r="AR675" s="2193" t="s">
        <v>856</v>
      </c>
      <c r="AT675" s="2193" t="s">
        <v>3286</v>
      </c>
      <c r="AU675" s="2193" t="s">
        <v>134</v>
      </c>
      <c r="AY675" s="2056" t="s">
        <v>3285</v>
      </c>
      <c r="BE675" s="2194">
        <f>IF(N675="základní",J675,0)</f>
        <v>0</v>
      </c>
      <c r="BF675" s="2194">
        <f>IF(N675="snížená",J675,0)</f>
        <v>0</v>
      </c>
      <c r="BG675" s="2194">
        <f>IF(N675="zákl. přenesená",J675,0)</f>
        <v>0</v>
      </c>
      <c r="BH675" s="2194">
        <f>IF(N675="sníž. přenesená",J675,0)</f>
        <v>0</v>
      </c>
      <c r="BI675" s="2194">
        <f>IF(N675="nulová",J675,0)</f>
        <v>0</v>
      </c>
      <c r="BJ675" s="2056" t="s">
        <v>134</v>
      </c>
      <c r="BK675" s="2194">
        <f>ROUND(I675*H675,2)</f>
        <v>0</v>
      </c>
      <c r="BL675" s="2056" t="s">
        <v>856</v>
      </c>
      <c r="BM675" s="2193" t="s">
        <v>3796</v>
      </c>
    </row>
    <row r="676" spans="2:65" s="2070" customFormat="1" ht="16.5" customHeight="1">
      <c r="B676" s="2164"/>
      <c r="C676" s="4608">
        <v>132</v>
      </c>
      <c r="D676" s="4608" t="s">
        <v>3286</v>
      </c>
      <c r="E676" s="4609" t="s">
        <v>3799</v>
      </c>
      <c r="F676" s="4610" t="s">
        <v>3800</v>
      </c>
      <c r="G676" s="4611" t="s">
        <v>611</v>
      </c>
      <c r="H676" s="4612">
        <v>124.70099999999999</v>
      </c>
      <c r="I676" s="4613"/>
      <c r="J676" s="4613">
        <f>ROUND(I676*H676,2)</f>
        <v>0</v>
      </c>
      <c r="K676" s="4610" t="s">
        <v>142</v>
      </c>
      <c r="L676" s="2071"/>
      <c r="M676" s="2190" t="s">
        <v>3146</v>
      </c>
      <c r="N676" s="2163" t="s">
        <v>3181</v>
      </c>
      <c r="O676" s="2191">
        <v>0.63800000000000001</v>
      </c>
      <c r="P676" s="2191">
        <f>O676*H676</f>
        <v>79.559237999999993</v>
      </c>
      <c r="Q676" s="2191">
        <v>1.4630000000000001E-2</v>
      </c>
      <c r="R676" s="2191">
        <f>Q676*H676</f>
        <v>1.82437563</v>
      </c>
      <c r="S676" s="2191">
        <v>0</v>
      </c>
      <c r="T676" s="2192">
        <f>S676*H676</f>
        <v>0</v>
      </c>
      <c r="AR676" s="2193" t="s">
        <v>856</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856</v>
      </c>
      <c r="BM676" s="2193" t="s">
        <v>3801</v>
      </c>
    </row>
    <row r="677" spans="2:65" s="2209" customFormat="1">
      <c r="B677" s="2210"/>
      <c r="D677" s="2197" t="s">
        <v>3303</v>
      </c>
      <c r="E677" s="2211" t="s">
        <v>3146</v>
      </c>
      <c r="F677" s="2212" t="s">
        <v>3802</v>
      </c>
      <c r="H677" s="2213">
        <v>19.446000000000002</v>
      </c>
      <c r="L677" s="2210"/>
      <c r="M677" s="2214"/>
      <c r="T677" s="2215"/>
      <c r="AT677" s="2211" t="s">
        <v>3303</v>
      </c>
      <c r="AU677" s="2211" t="s">
        <v>134</v>
      </c>
      <c r="AV677" s="2209" t="s">
        <v>134</v>
      </c>
      <c r="AW677" s="2209" t="s">
        <v>3171</v>
      </c>
      <c r="AX677" s="2209" t="s">
        <v>3213</v>
      </c>
      <c r="AY677" s="2211" t="s">
        <v>3285</v>
      </c>
    </row>
    <row r="678" spans="2:65" s="2209" customFormat="1">
      <c r="B678" s="2210"/>
      <c r="D678" s="2197" t="s">
        <v>3303</v>
      </c>
      <c r="E678" s="2211" t="s">
        <v>3146</v>
      </c>
      <c r="F678" s="2212" t="s">
        <v>3803</v>
      </c>
      <c r="H678" s="2213">
        <v>22.138000000000002</v>
      </c>
      <c r="L678" s="2210"/>
      <c r="M678" s="2214"/>
      <c r="T678" s="2215"/>
      <c r="AT678" s="2211" t="s">
        <v>3303</v>
      </c>
      <c r="AU678" s="2211" t="s">
        <v>134</v>
      </c>
      <c r="AV678" s="2209" t="s">
        <v>134</v>
      </c>
      <c r="AW678" s="2209" t="s">
        <v>3171</v>
      </c>
      <c r="AX678" s="2209" t="s">
        <v>3213</v>
      </c>
      <c r="AY678" s="2211" t="s">
        <v>3285</v>
      </c>
    </row>
    <row r="679" spans="2:65" s="2209" customFormat="1">
      <c r="B679" s="2210"/>
      <c r="D679" s="2197" t="s">
        <v>3303</v>
      </c>
      <c r="E679" s="2211" t="s">
        <v>3146</v>
      </c>
      <c r="F679" s="2212" t="s">
        <v>3804</v>
      </c>
      <c r="H679" s="2213">
        <v>22.256</v>
      </c>
      <c r="L679" s="2210"/>
      <c r="M679" s="2214"/>
      <c r="T679" s="2215"/>
      <c r="AT679" s="2211" t="s">
        <v>3303</v>
      </c>
      <c r="AU679" s="2211" t="s">
        <v>134</v>
      </c>
      <c r="AV679" s="2209" t="s">
        <v>134</v>
      </c>
      <c r="AW679" s="2209" t="s">
        <v>3171</v>
      </c>
      <c r="AX679" s="2209" t="s">
        <v>3213</v>
      </c>
      <c r="AY679" s="2211" t="s">
        <v>3285</v>
      </c>
    </row>
    <row r="680" spans="2:65" s="2209" customFormat="1">
      <c r="B680" s="2210"/>
      <c r="D680" s="2197" t="s">
        <v>3303</v>
      </c>
      <c r="E680" s="2211" t="s">
        <v>3146</v>
      </c>
      <c r="F680" s="2212" t="s">
        <v>3805</v>
      </c>
      <c r="H680" s="2213">
        <v>11.260999999999999</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3806</v>
      </c>
      <c r="H681" s="2213">
        <v>21.719000000000001</v>
      </c>
      <c r="L681" s="2210"/>
      <c r="M681" s="2214"/>
      <c r="T681" s="2215"/>
      <c r="AT681" s="2211" t="s">
        <v>3303</v>
      </c>
      <c r="AU681" s="2211" t="s">
        <v>134</v>
      </c>
      <c r="AV681" s="2209" t="s">
        <v>134</v>
      </c>
      <c r="AW681" s="2209" t="s">
        <v>3171</v>
      </c>
      <c r="AX681" s="2209" t="s">
        <v>3213</v>
      </c>
      <c r="AY681" s="2211" t="s">
        <v>3285</v>
      </c>
    </row>
    <row r="682" spans="2:65" s="2209" customFormat="1">
      <c r="B682" s="2210"/>
      <c r="D682" s="2197" t="s">
        <v>3303</v>
      </c>
      <c r="E682" s="2211" t="s">
        <v>3146</v>
      </c>
      <c r="F682" s="2212" t="s">
        <v>3807</v>
      </c>
      <c r="H682" s="2213">
        <v>27.881</v>
      </c>
      <c r="L682" s="2210"/>
      <c r="M682" s="2214"/>
      <c r="T682" s="2215"/>
      <c r="AT682" s="2211" t="s">
        <v>3303</v>
      </c>
      <c r="AU682" s="2211" t="s">
        <v>134</v>
      </c>
      <c r="AV682" s="2209" t="s">
        <v>134</v>
      </c>
      <c r="AW682" s="2209" t="s">
        <v>3171</v>
      </c>
      <c r="AX682" s="2209" t="s">
        <v>3213</v>
      </c>
      <c r="AY682" s="2211" t="s">
        <v>3285</v>
      </c>
    </row>
    <row r="683" spans="2:65" s="2216" customFormat="1">
      <c r="B683" s="2217"/>
      <c r="D683" s="2197" t="s">
        <v>3303</v>
      </c>
      <c r="E683" s="2218" t="s">
        <v>3146</v>
      </c>
      <c r="F683" s="2219" t="s">
        <v>3306</v>
      </c>
      <c r="H683" s="2220">
        <v>124.70099999999999</v>
      </c>
      <c r="L683" s="2217"/>
      <c r="M683" s="2221"/>
      <c r="T683" s="2222"/>
      <c r="AT683" s="2218" t="s">
        <v>3303</v>
      </c>
      <c r="AU683" s="2218" t="s">
        <v>134</v>
      </c>
      <c r="AV683" s="2216" t="s">
        <v>856</v>
      </c>
      <c r="AW683" s="2216" t="s">
        <v>3171</v>
      </c>
      <c r="AX683" s="2216" t="s">
        <v>133</v>
      </c>
      <c r="AY683" s="2218" t="s">
        <v>3285</v>
      </c>
    </row>
    <row r="684" spans="2:65" s="2070" customFormat="1" ht="21.75" customHeight="1">
      <c r="B684" s="2164"/>
      <c r="C684" s="4608">
        <v>133</v>
      </c>
      <c r="D684" s="4608" t="s">
        <v>3286</v>
      </c>
      <c r="E684" s="4609" t="s">
        <v>3809</v>
      </c>
      <c r="F684" s="4610" t="s">
        <v>3810</v>
      </c>
      <c r="G684" s="4611" t="s">
        <v>611</v>
      </c>
      <c r="H684" s="4612">
        <v>124.70099999999999</v>
      </c>
      <c r="I684" s="4613"/>
      <c r="J684" s="4613">
        <f>ROUND(I684*H684,2)</f>
        <v>0</v>
      </c>
      <c r="K684" s="4610" t="s">
        <v>142</v>
      </c>
      <c r="L684" s="2071"/>
      <c r="M684" s="2190" t="s">
        <v>3146</v>
      </c>
      <c r="N684" s="2163" t="s">
        <v>3181</v>
      </c>
      <c r="O684" s="2191">
        <v>0.29499999999999998</v>
      </c>
      <c r="P684" s="2191">
        <f>O684*H684</f>
        <v>36.786794999999998</v>
      </c>
      <c r="Q684" s="2191">
        <v>0</v>
      </c>
      <c r="R684" s="2191">
        <f>Q684*H684</f>
        <v>0</v>
      </c>
      <c r="S684" s="2191">
        <v>0</v>
      </c>
      <c r="T684" s="2192">
        <f>S684*H684</f>
        <v>0</v>
      </c>
      <c r="AR684" s="2193" t="s">
        <v>856</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856</v>
      </c>
      <c r="BM684" s="2193" t="s">
        <v>3811</v>
      </c>
    </row>
    <row r="685" spans="2:65" s="2178" customFormat="1" ht="22.9" customHeight="1">
      <c r="B685" s="2179"/>
      <c r="D685" s="2180" t="s">
        <v>3212</v>
      </c>
      <c r="E685" s="2188" t="s">
        <v>2071</v>
      </c>
      <c r="F685" s="2188" t="s">
        <v>3812</v>
      </c>
      <c r="J685" s="2189">
        <f>BK685</f>
        <v>0</v>
      </c>
      <c r="L685" s="2179"/>
      <c r="M685" s="2183"/>
      <c r="P685" s="2184">
        <f>SUM(P686:P727)</f>
        <v>3500.0270320000004</v>
      </c>
      <c r="R685" s="2184">
        <f>SUM(R686:R727)</f>
        <v>1.6405954199999999</v>
      </c>
      <c r="T685" s="2185">
        <f>SUM(T686:T727)</f>
        <v>1.4450000000000001</v>
      </c>
      <c r="AR685" s="2180" t="s">
        <v>133</v>
      </c>
      <c r="AT685" s="2186" t="s">
        <v>3212</v>
      </c>
      <c r="AU685" s="2186" t="s">
        <v>133</v>
      </c>
      <c r="AY685" s="2180" t="s">
        <v>3285</v>
      </c>
      <c r="BK685" s="2187">
        <f>SUM(BK686:BK727)</f>
        <v>0</v>
      </c>
    </row>
    <row r="686" spans="2:65" s="2070" customFormat="1" ht="37.9" customHeight="1">
      <c r="B686" s="2164"/>
      <c r="C686" s="4608">
        <v>134</v>
      </c>
      <c r="D686" s="4608" t="s">
        <v>3286</v>
      </c>
      <c r="E686" s="4609" t="s">
        <v>3814</v>
      </c>
      <c r="F686" s="4610" t="s">
        <v>3815</v>
      </c>
      <c r="G686" s="4611" t="s">
        <v>611</v>
      </c>
      <c r="H686" s="4612">
        <v>2176.3200000000002</v>
      </c>
      <c r="I686" s="4613"/>
      <c r="J686" s="4613">
        <f>ROUND(I686*H686,2)</f>
        <v>0</v>
      </c>
      <c r="K686" s="4610" t="s">
        <v>142</v>
      </c>
      <c r="L686" s="2071"/>
      <c r="M686" s="2190" t="s">
        <v>3146</v>
      </c>
      <c r="N686" s="2163" t="s">
        <v>3181</v>
      </c>
      <c r="O686" s="2191">
        <v>0.14799999999999999</v>
      </c>
      <c r="P686" s="2191">
        <f>O686*H686</f>
        <v>322.09536000000003</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3816</v>
      </c>
    </row>
    <row r="687" spans="2:65" s="2209" customFormat="1">
      <c r="B687" s="2210"/>
      <c r="D687" s="2197" t="s">
        <v>3303</v>
      </c>
      <c r="E687" s="2211" t="s">
        <v>3146</v>
      </c>
      <c r="F687" s="2212" t="s">
        <v>3817</v>
      </c>
      <c r="H687" s="2213">
        <v>1456.32</v>
      </c>
      <c r="L687" s="2210"/>
      <c r="M687" s="2214"/>
      <c r="T687" s="2215"/>
      <c r="AT687" s="2211" t="s">
        <v>3303</v>
      </c>
      <c r="AU687" s="2211" t="s">
        <v>134</v>
      </c>
      <c r="AV687" s="2209" t="s">
        <v>134</v>
      </c>
      <c r="AW687" s="2209" t="s">
        <v>3171</v>
      </c>
      <c r="AX687" s="2209" t="s">
        <v>3213</v>
      </c>
      <c r="AY687" s="2211" t="s">
        <v>3285</v>
      </c>
    </row>
    <row r="688" spans="2:65" s="2209" customFormat="1">
      <c r="B688" s="2210"/>
      <c r="D688" s="2197" t="s">
        <v>3303</v>
      </c>
      <c r="E688" s="2211" t="s">
        <v>3146</v>
      </c>
      <c r="F688" s="2212" t="s">
        <v>3818</v>
      </c>
      <c r="H688" s="2213">
        <v>720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2176.3200000000002</v>
      </c>
      <c r="L689" s="2217"/>
      <c r="M689" s="2221"/>
      <c r="T689" s="2222"/>
      <c r="AT689" s="2218" t="s">
        <v>3303</v>
      </c>
      <c r="AU689" s="2218" t="s">
        <v>134</v>
      </c>
      <c r="AV689" s="2216" t="s">
        <v>856</v>
      </c>
      <c r="AW689" s="2216" t="s">
        <v>3171</v>
      </c>
      <c r="AX689" s="2216" t="s">
        <v>133</v>
      </c>
      <c r="AY689" s="2218" t="s">
        <v>3285</v>
      </c>
    </row>
    <row r="690" spans="2:65" s="2070" customFormat="1" ht="33" customHeight="1">
      <c r="B690" s="2164"/>
      <c r="C690" s="4608">
        <v>135</v>
      </c>
      <c r="D690" s="4608" t="s">
        <v>3286</v>
      </c>
      <c r="E690" s="4609" t="s">
        <v>3820</v>
      </c>
      <c r="F690" s="4610" t="s">
        <v>3821</v>
      </c>
      <c r="G690" s="4611" t="s">
        <v>611</v>
      </c>
      <c r="H690" s="4612">
        <v>391737.59999999998</v>
      </c>
      <c r="I690" s="4613"/>
      <c r="J690" s="4613">
        <f>ROUND(I690*H690,2)</f>
        <v>0</v>
      </c>
      <c r="K690" s="4610" t="s">
        <v>142</v>
      </c>
      <c r="L690" s="2071"/>
      <c r="M690" s="2190" t="s">
        <v>3146</v>
      </c>
      <c r="N690" s="2163" t="s">
        <v>3181</v>
      </c>
      <c r="O690" s="2191">
        <v>0</v>
      </c>
      <c r="P690" s="2191">
        <f>O690*H690</f>
        <v>0</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3822</v>
      </c>
    </row>
    <row r="691" spans="2:65" s="2209" customFormat="1">
      <c r="B691" s="2210"/>
      <c r="D691" s="2197" t="s">
        <v>3303</v>
      </c>
      <c r="F691" s="2212" t="s">
        <v>10806</v>
      </c>
      <c r="H691" s="2213">
        <v>391737.59999999998</v>
      </c>
      <c r="L691" s="2210"/>
      <c r="M691" s="2214"/>
      <c r="T691" s="2215"/>
      <c r="AT691" s="2211" t="s">
        <v>3303</v>
      </c>
      <c r="AU691" s="2211" t="s">
        <v>134</v>
      </c>
      <c r="AV691" s="2209" t="s">
        <v>134</v>
      </c>
      <c r="AW691" s="2209" t="s">
        <v>3148</v>
      </c>
      <c r="AX691" s="2209" t="s">
        <v>133</v>
      </c>
      <c r="AY691" s="2211" t="s">
        <v>3285</v>
      </c>
    </row>
    <row r="692" spans="2:65" s="2070" customFormat="1" ht="37.9" customHeight="1">
      <c r="B692" s="2164"/>
      <c r="C692" s="4608">
        <v>136</v>
      </c>
      <c r="D692" s="4608" t="s">
        <v>3286</v>
      </c>
      <c r="E692" s="4609" t="s">
        <v>3824</v>
      </c>
      <c r="F692" s="4610" t="s">
        <v>3825</v>
      </c>
      <c r="G692" s="4611" t="s">
        <v>611</v>
      </c>
      <c r="H692" s="4612">
        <v>2176.3200000000002</v>
      </c>
      <c r="I692" s="4613"/>
      <c r="J692" s="4613">
        <f>ROUND(I692*H692,2)</f>
        <v>0</v>
      </c>
      <c r="K692" s="4610" t="s">
        <v>142</v>
      </c>
      <c r="L692" s="2071"/>
      <c r="M692" s="2190" t="s">
        <v>3146</v>
      </c>
      <c r="N692" s="2163" t="s">
        <v>3181</v>
      </c>
      <c r="O692" s="2191">
        <v>9.0999999999999998E-2</v>
      </c>
      <c r="P692" s="2191">
        <f>O692*H692</f>
        <v>198.04512</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3826</v>
      </c>
    </row>
    <row r="693" spans="2:65" s="2070" customFormat="1" ht="33" customHeight="1">
      <c r="B693" s="2164"/>
      <c r="C693" s="4608">
        <v>137</v>
      </c>
      <c r="D693" s="4608" t="s">
        <v>3286</v>
      </c>
      <c r="E693" s="4609" t="s">
        <v>3828</v>
      </c>
      <c r="F693" s="4610" t="s">
        <v>3829</v>
      </c>
      <c r="G693" s="4611" t="s">
        <v>221</v>
      </c>
      <c r="H693" s="4612">
        <v>480</v>
      </c>
      <c r="I693" s="4613"/>
      <c r="J693" s="4613">
        <f>ROUND(I693*H693,2)</f>
        <v>0</v>
      </c>
      <c r="K693" s="4610" t="s">
        <v>142</v>
      </c>
      <c r="L693" s="2071"/>
      <c r="M693" s="2190" t="s">
        <v>3146</v>
      </c>
      <c r="N693" s="2163" t="s">
        <v>3181</v>
      </c>
      <c r="O693" s="2191">
        <v>0.126</v>
      </c>
      <c r="P693" s="2191">
        <f>O693*H693</f>
        <v>60.480000000000004</v>
      </c>
      <c r="Q693" s="2191">
        <v>0</v>
      </c>
      <c r="R693" s="2191">
        <f>Q693*H693</f>
        <v>0</v>
      </c>
      <c r="S693" s="2191">
        <v>0</v>
      </c>
      <c r="T693" s="2192">
        <f>S693*H693</f>
        <v>0</v>
      </c>
      <c r="AR693" s="2193" t="s">
        <v>856</v>
      </c>
      <c r="AT693" s="2193" t="s">
        <v>3286</v>
      </c>
      <c r="AU693" s="2193" t="s">
        <v>134</v>
      </c>
      <c r="AY693" s="2056" t="s">
        <v>3285</v>
      </c>
      <c r="BE693" s="2194">
        <f>IF(N693="základní",J693,0)</f>
        <v>0</v>
      </c>
      <c r="BF693" s="2194">
        <f>IF(N693="snížená",J693,0)</f>
        <v>0</v>
      </c>
      <c r="BG693" s="2194">
        <f>IF(N693="zákl. přenesená",J693,0)</f>
        <v>0</v>
      </c>
      <c r="BH693" s="2194">
        <f>IF(N693="sníž. přenesená",J693,0)</f>
        <v>0</v>
      </c>
      <c r="BI693" s="2194">
        <f>IF(N693="nulová",J693,0)</f>
        <v>0</v>
      </c>
      <c r="BJ693" s="2056" t="s">
        <v>134</v>
      </c>
      <c r="BK693" s="2194">
        <f>ROUND(I693*H693,2)</f>
        <v>0</v>
      </c>
      <c r="BL693" s="2056" t="s">
        <v>856</v>
      </c>
      <c r="BM693" s="2193" t="s">
        <v>3830</v>
      </c>
    </row>
    <row r="694" spans="2:65" s="2209" customFormat="1">
      <c r="B694" s="2210"/>
      <c r="D694" s="2197" t="s">
        <v>3303</v>
      </c>
      <c r="E694" s="2211" t="s">
        <v>3146</v>
      </c>
      <c r="F694" s="2212" t="s">
        <v>3831</v>
      </c>
      <c r="H694" s="2213">
        <v>480</v>
      </c>
      <c r="L694" s="2210"/>
      <c r="M694" s="2214"/>
      <c r="T694" s="2215"/>
      <c r="AT694" s="2211" t="s">
        <v>3303</v>
      </c>
      <c r="AU694" s="2211" t="s">
        <v>134</v>
      </c>
      <c r="AV694" s="2209" t="s">
        <v>134</v>
      </c>
      <c r="AW694" s="2209" t="s">
        <v>3171</v>
      </c>
      <c r="AX694" s="2209" t="s">
        <v>133</v>
      </c>
      <c r="AY694" s="2211" t="s">
        <v>3285</v>
      </c>
    </row>
    <row r="695" spans="2:65" s="2070" customFormat="1" ht="33" customHeight="1">
      <c r="B695" s="2164"/>
      <c r="C695" s="4608">
        <v>138</v>
      </c>
      <c r="D695" s="4608" t="s">
        <v>3286</v>
      </c>
      <c r="E695" s="4609" t="s">
        <v>3833</v>
      </c>
      <c r="F695" s="4610" t="s">
        <v>3834</v>
      </c>
      <c r="G695" s="4611" t="s">
        <v>221</v>
      </c>
      <c r="H695" s="4612">
        <v>28800</v>
      </c>
      <c r="I695" s="4613"/>
      <c r="J695" s="4613">
        <f>ROUND(I695*H695,2)</f>
        <v>0</v>
      </c>
      <c r="K695" s="4610" t="s">
        <v>142</v>
      </c>
      <c r="L695" s="2071"/>
      <c r="M695" s="2190" t="s">
        <v>3146</v>
      </c>
      <c r="N695" s="2163" t="s">
        <v>3181</v>
      </c>
      <c r="O695" s="2191">
        <v>0</v>
      </c>
      <c r="P695" s="2191">
        <f>O695*H695</f>
        <v>0</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3835</v>
      </c>
    </row>
    <row r="696" spans="2:65" s="2209" customFormat="1">
      <c r="B696" s="2210"/>
      <c r="D696" s="2197" t="s">
        <v>3303</v>
      </c>
      <c r="F696" s="2212" t="s">
        <v>3836</v>
      </c>
      <c r="H696" s="2213">
        <v>28800</v>
      </c>
      <c r="L696" s="2210"/>
      <c r="M696" s="2214"/>
      <c r="T696" s="2215"/>
      <c r="AT696" s="2211" t="s">
        <v>3303</v>
      </c>
      <c r="AU696" s="2211" t="s">
        <v>134</v>
      </c>
      <c r="AV696" s="2209" t="s">
        <v>134</v>
      </c>
      <c r="AW696" s="2209" t="s">
        <v>3148</v>
      </c>
      <c r="AX696" s="2209" t="s">
        <v>133</v>
      </c>
      <c r="AY696" s="2211" t="s">
        <v>3285</v>
      </c>
    </row>
    <row r="697" spans="2:65" s="2070" customFormat="1" ht="33" customHeight="1">
      <c r="B697" s="2164"/>
      <c r="C697" s="4608">
        <v>139</v>
      </c>
      <c r="D697" s="4608" t="s">
        <v>3286</v>
      </c>
      <c r="E697" s="4609" t="s">
        <v>3838</v>
      </c>
      <c r="F697" s="4610" t="s">
        <v>3839</v>
      </c>
      <c r="G697" s="4611" t="s">
        <v>221</v>
      </c>
      <c r="H697" s="4612">
        <v>480</v>
      </c>
      <c r="I697" s="4613"/>
      <c r="J697" s="4613">
        <f>ROUND(I697*H697,2)</f>
        <v>0</v>
      </c>
      <c r="K697" s="4610" t="s">
        <v>142</v>
      </c>
      <c r="L697" s="2071"/>
      <c r="M697" s="2190" t="s">
        <v>3146</v>
      </c>
      <c r="N697" s="2163" t="s">
        <v>3181</v>
      </c>
      <c r="O697" s="2191">
        <v>7.6999999999999999E-2</v>
      </c>
      <c r="P697" s="2191">
        <f>O697*H697</f>
        <v>36.96</v>
      </c>
      <c r="Q697" s="2191">
        <v>0</v>
      </c>
      <c r="R697" s="2191">
        <f>Q697*H697</f>
        <v>0</v>
      </c>
      <c r="S697" s="2191">
        <v>0</v>
      </c>
      <c r="T697" s="2192">
        <f>S697*H697</f>
        <v>0</v>
      </c>
      <c r="AR697" s="2193" t="s">
        <v>856</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856</v>
      </c>
      <c r="BM697" s="2193" t="s">
        <v>3840</v>
      </c>
    </row>
    <row r="698" spans="2:65" s="2070" customFormat="1" ht="21.75" customHeight="1">
      <c r="B698" s="2164"/>
      <c r="C698" s="4608">
        <v>140</v>
      </c>
      <c r="D698" s="4608" t="s">
        <v>3286</v>
      </c>
      <c r="E698" s="4609" t="s">
        <v>3842</v>
      </c>
      <c r="F698" s="4610" t="s">
        <v>3843</v>
      </c>
      <c r="G698" s="4611" t="s">
        <v>611</v>
      </c>
      <c r="H698" s="4612">
        <v>2176</v>
      </c>
      <c r="I698" s="4613"/>
      <c r="J698" s="4613">
        <f>ROUND(I698*H698,2)</f>
        <v>0</v>
      </c>
      <c r="K698" s="4610" t="s">
        <v>142</v>
      </c>
      <c r="L698" s="2071"/>
      <c r="M698" s="2190" t="s">
        <v>3146</v>
      </c>
      <c r="N698" s="2163" t="s">
        <v>3181</v>
      </c>
      <c r="O698" s="2191">
        <v>6.0999999999999999E-2</v>
      </c>
      <c r="P698" s="2191">
        <f>O698*H698</f>
        <v>132.73599999999999</v>
      </c>
      <c r="Q698" s="2191">
        <v>0</v>
      </c>
      <c r="R698" s="2191">
        <f>Q698*H698</f>
        <v>0</v>
      </c>
      <c r="S698" s="2191">
        <v>0</v>
      </c>
      <c r="T698" s="2192">
        <f>S698*H698</f>
        <v>0</v>
      </c>
      <c r="AR698" s="2193" t="s">
        <v>856</v>
      </c>
      <c r="AT698" s="2193" t="s">
        <v>3286</v>
      </c>
      <c r="AU698" s="2193" t="s">
        <v>134</v>
      </c>
      <c r="AY698" s="2056" t="s">
        <v>3285</v>
      </c>
      <c r="BE698" s="2194">
        <f>IF(N698="základní",J698,0)</f>
        <v>0</v>
      </c>
      <c r="BF698" s="2194">
        <f>IF(N698="snížená",J698,0)</f>
        <v>0</v>
      </c>
      <c r="BG698" s="2194">
        <f>IF(N698="zákl. přenesená",J698,0)</f>
        <v>0</v>
      </c>
      <c r="BH698" s="2194">
        <f>IF(N698="sníž. přenesená",J698,0)</f>
        <v>0</v>
      </c>
      <c r="BI698" s="2194">
        <f>IF(N698="nulová",J698,0)</f>
        <v>0</v>
      </c>
      <c r="BJ698" s="2056" t="s">
        <v>134</v>
      </c>
      <c r="BK698" s="2194">
        <f>ROUND(I698*H698,2)</f>
        <v>0</v>
      </c>
      <c r="BL698" s="2056" t="s">
        <v>856</v>
      </c>
      <c r="BM698" s="2193" t="s">
        <v>3844</v>
      </c>
    </row>
    <row r="699" spans="2:65" s="2070" customFormat="1" ht="21.75" customHeight="1">
      <c r="B699" s="2164"/>
      <c r="C699" s="4608">
        <v>141</v>
      </c>
      <c r="D699" s="4608" t="s">
        <v>3286</v>
      </c>
      <c r="E699" s="4609" t="s">
        <v>3846</v>
      </c>
      <c r="F699" s="4610" t="s">
        <v>3847</v>
      </c>
      <c r="G699" s="4611" t="s">
        <v>611</v>
      </c>
      <c r="H699" s="4612">
        <v>391680</v>
      </c>
      <c r="I699" s="4613"/>
      <c r="J699" s="4613">
        <f>ROUND(I699*H699,2)</f>
        <v>0</v>
      </c>
      <c r="K699" s="4610" t="s">
        <v>142</v>
      </c>
      <c r="L699" s="2071"/>
      <c r="M699" s="2190" t="s">
        <v>3146</v>
      </c>
      <c r="N699" s="2163" t="s">
        <v>3181</v>
      </c>
      <c r="O699" s="2191">
        <v>0</v>
      </c>
      <c r="P699" s="2191">
        <f>O699*H699</f>
        <v>0</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3848</v>
      </c>
    </row>
    <row r="700" spans="2:65" s="2209" customFormat="1">
      <c r="B700" s="2210"/>
      <c r="D700" s="2197" t="s">
        <v>3303</v>
      </c>
      <c r="F700" s="2212" t="s">
        <v>10807</v>
      </c>
      <c r="H700" s="2213">
        <v>391680</v>
      </c>
      <c r="L700" s="2210"/>
      <c r="M700" s="2214"/>
      <c r="T700" s="2215"/>
      <c r="AT700" s="2211" t="s">
        <v>3303</v>
      </c>
      <c r="AU700" s="2211" t="s">
        <v>134</v>
      </c>
      <c r="AV700" s="2209" t="s">
        <v>134</v>
      </c>
      <c r="AW700" s="2209" t="s">
        <v>3148</v>
      </c>
      <c r="AX700" s="2209" t="s">
        <v>133</v>
      </c>
      <c r="AY700" s="2211" t="s">
        <v>3285</v>
      </c>
    </row>
    <row r="701" spans="2:65" s="2070" customFormat="1" ht="21.75" customHeight="1">
      <c r="B701" s="2164"/>
      <c r="C701" s="4608">
        <v>142</v>
      </c>
      <c r="D701" s="4608" t="s">
        <v>3286</v>
      </c>
      <c r="E701" s="4609" t="s">
        <v>3850</v>
      </c>
      <c r="F701" s="4610" t="s">
        <v>3851</v>
      </c>
      <c r="G701" s="4611" t="s">
        <v>611</v>
      </c>
      <c r="H701" s="4612">
        <v>2176</v>
      </c>
      <c r="I701" s="4613"/>
      <c r="J701" s="4613">
        <f>ROUND(I701*H701,2)</f>
        <v>0</v>
      </c>
      <c r="K701" s="4610" t="s">
        <v>142</v>
      </c>
      <c r="L701" s="2071"/>
      <c r="M701" s="2190" t="s">
        <v>3146</v>
      </c>
      <c r="N701" s="2163" t="s">
        <v>3181</v>
      </c>
      <c r="O701" s="2191">
        <v>4.1000000000000002E-2</v>
      </c>
      <c r="P701" s="2191">
        <f>O701*H701</f>
        <v>89.216000000000008</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3852</v>
      </c>
    </row>
    <row r="702" spans="2:65" s="2070" customFormat="1" ht="33" customHeight="1">
      <c r="B702" s="2164"/>
      <c r="C702" s="4608">
        <v>143</v>
      </c>
      <c r="D702" s="4608" t="s">
        <v>3286</v>
      </c>
      <c r="E702" s="4609" t="s">
        <v>3854</v>
      </c>
      <c r="F702" s="4610" t="s">
        <v>3855</v>
      </c>
      <c r="G702" s="4611" t="s">
        <v>155</v>
      </c>
      <c r="H702" s="4612">
        <v>5</v>
      </c>
      <c r="I702" s="4613"/>
      <c r="J702" s="4613">
        <f>ROUND(I702*H702,2)</f>
        <v>0</v>
      </c>
      <c r="K702" s="4610" t="s">
        <v>142</v>
      </c>
      <c r="L702" s="2071"/>
      <c r="M702" s="2190" t="s">
        <v>3146</v>
      </c>
      <c r="N702" s="2163" t="s">
        <v>3181</v>
      </c>
      <c r="O702" s="2191">
        <v>10.065</v>
      </c>
      <c r="P702" s="2191">
        <f>O702*H702</f>
        <v>50.324999999999996</v>
      </c>
      <c r="Q702" s="2191">
        <v>0</v>
      </c>
      <c r="R702" s="2191">
        <f>Q702*H702</f>
        <v>0</v>
      </c>
      <c r="S702" s="2191">
        <v>0</v>
      </c>
      <c r="T702" s="2192">
        <f>S702*H702</f>
        <v>0</v>
      </c>
      <c r="AR702" s="2193" t="s">
        <v>856</v>
      </c>
      <c r="AT702" s="2193" t="s">
        <v>3286</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856</v>
      </c>
      <c r="BM702" s="2193" t="s">
        <v>3856</v>
      </c>
    </row>
    <row r="703" spans="2:65" s="2070" customFormat="1" ht="33" customHeight="1">
      <c r="B703" s="2164"/>
      <c r="C703" s="4608">
        <v>144</v>
      </c>
      <c r="D703" s="4608" t="s">
        <v>3286</v>
      </c>
      <c r="E703" s="4609" t="s">
        <v>3858</v>
      </c>
      <c r="F703" s="4610" t="s">
        <v>3859</v>
      </c>
      <c r="G703" s="4611" t="s">
        <v>155</v>
      </c>
      <c r="H703" s="4612">
        <v>150</v>
      </c>
      <c r="I703" s="4613"/>
      <c r="J703" s="4613">
        <f>ROUND(I703*H703,2)</f>
        <v>0</v>
      </c>
      <c r="K703" s="4610" t="s">
        <v>142</v>
      </c>
      <c r="L703" s="2071"/>
      <c r="M703" s="2190" t="s">
        <v>3146</v>
      </c>
      <c r="N703" s="2163" t="s">
        <v>3181</v>
      </c>
      <c r="O703" s="2191">
        <v>0</v>
      </c>
      <c r="P703" s="2191">
        <f>O703*H703</f>
        <v>0</v>
      </c>
      <c r="Q703" s="2191">
        <v>0</v>
      </c>
      <c r="R703" s="2191">
        <f>Q703*H703</f>
        <v>0</v>
      </c>
      <c r="S703" s="2191">
        <v>0</v>
      </c>
      <c r="T703" s="2192">
        <f>S703*H703</f>
        <v>0</v>
      </c>
      <c r="AR703" s="2193" t="s">
        <v>856</v>
      </c>
      <c r="AT703" s="2193" t="s">
        <v>3286</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856</v>
      </c>
      <c r="BM703" s="2193" t="s">
        <v>3860</v>
      </c>
    </row>
    <row r="704" spans="2:65" s="2209" customFormat="1">
      <c r="B704" s="2210"/>
      <c r="D704" s="2197" t="s">
        <v>3303</v>
      </c>
      <c r="E704" s="2211" t="s">
        <v>3146</v>
      </c>
      <c r="F704" s="2212" t="s">
        <v>858</v>
      </c>
      <c r="H704" s="2213">
        <v>5</v>
      </c>
      <c r="L704" s="2210"/>
      <c r="M704" s="2214"/>
      <c r="T704" s="2215"/>
      <c r="AT704" s="2211" t="s">
        <v>3303</v>
      </c>
      <c r="AU704" s="2211" t="s">
        <v>134</v>
      </c>
      <c r="AV704" s="2209" t="s">
        <v>134</v>
      </c>
      <c r="AW704" s="2209" t="s">
        <v>3171</v>
      </c>
      <c r="AX704" s="2209" t="s">
        <v>133</v>
      </c>
      <c r="AY704" s="2211" t="s">
        <v>3285</v>
      </c>
    </row>
    <row r="705" spans="2:65" s="2209" customFormat="1">
      <c r="B705" s="2210"/>
      <c r="D705" s="2197" t="s">
        <v>3303</v>
      </c>
      <c r="F705" s="2212" t="s">
        <v>10808</v>
      </c>
      <c r="H705" s="2213">
        <v>150</v>
      </c>
      <c r="L705" s="2210"/>
      <c r="M705" s="2214"/>
      <c r="T705" s="2215"/>
      <c r="AT705" s="2211" t="s">
        <v>3303</v>
      </c>
      <c r="AU705" s="2211" t="s">
        <v>134</v>
      </c>
      <c r="AV705" s="2209" t="s">
        <v>134</v>
      </c>
      <c r="AW705" s="2209" t="s">
        <v>3148</v>
      </c>
      <c r="AX705" s="2209" t="s">
        <v>133</v>
      </c>
      <c r="AY705" s="2211" t="s">
        <v>3285</v>
      </c>
    </row>
    <row r="706" spans="2:65" s="2070" customFormat="1" ht="33" customHeight="1">
      <c r="B706" s="2164"/>
      <c r="C706" s="4608">
        <v>145</v>
      </c>
      <c r="D706" s="4608" t="s">
        <v>3286</v>
      </c>
      <c r="E706" s="4609" t="s">
        <v>3862</v>
      </c>
      <c r="F706" s="4610" t="s">
        <v>3863</v>
      </c>
      <c r="G706" s="4611" t="s">
        <v>155</v>
      </c>
      <c r="H706" s="4612">
        <v>5</v>
      </c>
      <c r="I706" s="4613"/>
      <c r="J706" s="4613">
        <f>ROUND(I706*H706,2)</f>
        <v>0</v>
      </c>
      <c r="K706" s="4610" t="s">
        <v>142</v>
      </c>
      <c r="L706" s="2071"/>
      <c r="M706" s="2190" t="s">
        <v>3146</v>
      </c>
      <c r="N706" s="2163" t="s">
        <v>3181</v>
      </c>
      <c r="O706" s="2191">
        <v>7.4809999999999999</v>
      </c>
      <c r="P706" s="2191">
        <f>O706*H706</f>
        <v>37.405000000000001</v>
      </c>
      <c r="Q706" s="2191">
        <v>0</v>
      </c>
      <c r="R706" s="2191">
        <f>Q706*H706</f>
        <v>0</v>
      </c>
      <c r="S706" s="2191">
        <v>0</v>
      </c>
      <c r="T706" s="2192">
        <f>S706*H706</f>
        <v>0</v>
      </c>
      <c r="AR706" s="2193" t="s">
        <v>856</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856</v>
      </c>
      <c r="BM706" s="2193" t="s">
        <v>3864</v>
      </c>
    </row>
    <row r="707" spans="2:65" s="2070" customFormat="1" ht="24.2" customHeight="1">
      <c r="B707" s="2164"/>
      <c r="C707" s="4608">
        <v>146</v>
      </c>
      <c r="D707" s="4608" t="s">
        <v>3286</v>
      </c>
      <c r="E707" s="4609" t="s">
        <v>3866</v>
      </c>
      <c r="F707" s="4610" t="s">
        <v>3867</v>
      </c>
      <c r="G707" s="4611" t="s">
        <v>155</v>
      </c>
      <c r="H707" s="4612">
        <v>5</v>
      </c>
      <c r="I707" s="4613"/>
      <c r="J707" s="4613">
        <f>ROUND(I707*H707,2)</f>
        <v>0</v>
      </c>
      <c r="K707" s="4610" t="s">
        <v>142</v>
      </c>
      <c r="L707" s="2071"/>
      <c r="M707" s="2190" t="s">
        <v>3146</v>
      </c>
      <c r="N707" s="2163" t="s">
        <v>3181</v>
      </c>
      <c r="O707" s="2191">
        <v>22.09</v>
      </c>
      <c r="P707" s="2191">
        <f>O707*H707</f>
        <v>110.45</v>
      </c>
      <c r="Q707" s="2191">
        <v>0</v>
      </c>
      <c r="R707" s="2191">
        <f>Q707*H707</f>
        <v>0</v>
      </c>
      <c r="S707" s="2191">
        <v>0</v>
      </c>
      <c r="T707" s="2192">
        <f>S707*H707</f>
        <v>0</v>
      </c>
      <c r="AR707" s="2193" t="s">
        <v>856</v>
      </c>
      <c r="AT707" s="2193" t="s">
        <v>3286</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856</v>
      </c>
      <c r="BM707" s="2193" t="s">
        <v>3868</v>
      </c>
    </row>
    <row r="708" spans="2:65" s="2070" customFormat="1" ht="33" customHeight="1">
      <c r="B708" s="2164"/>
      <c r="C708" s="4608">
        <v>147</v>
      </c>
      <c r="D708" s="4608" t="s">
        <v>3286</v>
      </c>
      <c r="E708" s="4609" t="s">
        <v>3870</v>
      </c>
      <c r="F708" s="4610" t="s">
        <v>3871</v>
      </c>
      <c r="G708" s="4611" t="s">
        <v>155</v>
      </c>
      <c r="H708" s="4612">
        <v>300</v>
      </c>
      <c r="I708" s="4613"/>
      <c r="J708" s="4613">
        <f>ROUND(I708*H708,2)</f>
        <v>0</v>
      </c>
      <c r="K708" s="4610" t="s">
        <v>142</v>
      </c>
      <c r="L708" s="2071"/>
      <c r="M708" s="2190" t="s">
        <v>3146</v>
      </c>
      <c r="N708" s="2163" t="s">
        <v>3181</v>
      </c>
      <c r="O708" s="2191">
        <v>0</v>
      </c>
      <c r="P708" s="2191">
        <f>O708*H708</f>
        <v>0</v>
      </c>
      <c r="Q708" s="2191">
        <v>0</v>
      </c>
      <c r="R708" s="2191">
        <f>Q708*H708</f>
        <v>0</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3872</v>
      </c>
    </row>
    <row r="709" spans="2:65" s="2209" customFormat="1">
      <c r="B709" s="2210"/>
      <c r="D709" s="2197" t="s">
        <v>3303</v>
      </c>
      <c r="E709" s="2211" t="s">
        <v>3146</v>
      </c>
      <c r="F709" s="2212" t="s">
        <v>858</v>
      </c>
      <c r="H709" s="2213">
        <v>5</v>
      </c>
      <c r="L709" s="2210"/>
      <c r="M709" s="2214"/>
      <c r="T709" s="2215"/>
      <c r="AT709" s="2211" t="s">
        <v>3303</v>
      </c>
      <c r="AU709" s="2211" t="s">
        <v>134</v>
      </c>
      <c r="AV709" s="2209" t="s">
        <v>134</v>
      </c>
      <c r="AW709" s="2209" t="s">
        <v>3171</v>
      </c>
      <c r="AX709" s="2209" t="s">
        <v>133</v>
      </c>
      <c r="AY709" s="2211" t="s">
        <v>3285</v>
      </c>
    </row>
    <row r="710" spans="2:65" s="2209" customFormat="1">
      <c r="B710" s="2210"/>
      <c r="D710" s="2197" t="s">
        <v>3303</v>
      </c>
      <c r="F710" s="2212" t="s">
        <v>10809</v>
      </c>
      <c r="H710" s="2213">
        <v>300</v>
      </c>
      <c r="L710" s="2210"/>
      <c r="M710" s="2214"/>
      <c r="T710" s="2215"/>
      <c r="AT710" s="2211" t="s">
        <v>3303</v>
      </c>
      <c r="AU710" s="2211" t="s">
        <v>134</v>
      </c>
      <c r="AV710" s="2209" t="s">
        <v>134</v>
      </c>
      <c r="AW710" s="2209" t="s">
        <v>3148</v>
      </c>
      <c r="AX710" s="2209" t="s">
        <v>133</v>
      </c>
      <c r="AY710" s="2211" t="s">
        <v>3285</v>
      </c>
    </row>
    <row r="711" spans="2:65" s="2070" customFormat="1" ht="33" customHeight="1">
      <c r="B711" s="2164"/>
      <c r="C711" s="4608">
        <v>148</v>
      </c>
      <c r="D711" s="4608" t="s">
        <v>3286</v>
      </c>
      <c r="E711" s="4609" t="s">
        <v>3874</v>
      </c>
      <c r="F711" s="4610" t="s">
        <v>3875</v>
      </c>
      <c r="G711" s="4611" t="s">
        <v>155</v>
      </c>
      <c r="H711" s="4612">
        <v>5</v>
      </c>
      <c r="I711" s="4613"/>
      <c r="J711" s="4613">
        <f>ROUND(I711*H711,2)</f>
        <v>0</v>
      </c>
      <c r="K711" s="4610" t="s">
        <v>142</v>
      </c>
      <c r="L711" s="2071"/>
      <c r="M711" s="2190" t="s">
        <v>3146</v>
      </c>
      <c r="N711" s="2163" t="s">
        <v>3181</v>
      </c>
      <c r="O711" s="2191">
        <v>19.202999999999999</v>
      </c>
      <c r="P711" s="2191">
        <f>O711*H711</f>
        <v>96.015000000000001</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3876</v>
      </c>
    </row>
    <row r="712" spans="2:65" s="2070" customFormat="1" ht="37.9" customHeight="1">
      <c r="B712" s="2164"/>
      <c r="C712" s="4608">
        <v>149</v>
      </c>
      <c r="D712" s="4608" t="s">
        <v>3286</v>
      </c>
      <c r="E712" s="4609" t="s">
        <v>10810</v>
      </c>
      <c r="F712" s="4610" t="s">
        <v>10811</v>
      </c>
      <c r="G712" s="4611" t="s">
        <v>611</v>
      </c>
      <c r="H712" s="4612">
        <v>1942.002</v>
      </c>
      <c r="I712" s="4613"/>
      <c r="J712" s="4613">
        <f>ROUND(I712*H712,2)</f>
        <v>0</v>
      </c>
      <c r="K712" s="4610" t="s">
        <v>142</v>
      </c>
      <c r="L712" s="2071"/>
      <c r="M712" s="2190" t="s">
        <v>3146</v>
      </c>
      <c r="N712" s="2163" t="s">
        <v>3181</v>
      </c>
      <c r="O712" s="2191">
        <v>0.126</v>
      </c>
      <c r="P712" s="2191">
        <f>O712*H712</f>
        <v>244.692252</v>
      </c>
      <c r="Q712" s="2191">
        <v>2.1000000000000001E-4</v>
      </c>
      <c r="R712" s="2191">
        <f>Q712*H712</f>
        <v>0.40782042000000002</v>
      </c>
      <c r="S712" s="2191">
        <v>0</v>
      </c>
      <c r="T712" s="2192">
        <f>S712*H712</f>
        <v>0</v>
      </c>
      <c r="AR712" s="2193" t="s">
        <v>856</v>
      </c>
      <c r="AT712" s="2193" t="s">
        <v>3286</v>
      </c>
      <c r="AU712" s="2193" t="s">
        <v>134</v>
      </c>
      <c r="AY712" s="2056" t="s">
        <v>3285</v>
      </c>
      <c r="BE712" s="2194">
        <f>IF(N712="základní",J712,0)</f>
        <v>0</v>
      </c>
      <c r="BF712" s="2194">
        <f>IF(N712="snížená",J712,0)</f>
        <v>0</v>
      </c>
      <c r="BG712" s="2194">
        <f>IF(N712="zákl. přenesená",J712,0)</f>
        <v>0</v>
      </c>
      <c r="BH712" s="2194">
        <f>IF(N712="sníž. přenesená",J712,0)</f>
        <v>0</v>
      </c>
      <c r="BI712" s="2194">
        <f>IF(N712="nulová",J712,0)</f>
        <v>0</v>
      </c>
      <c r="BJ712" s="2056" t="s">
        <v>134</v>
      </c>
      <c r="BK712" s="2194">
        <f>ROUND(I712*H712,2)</f>
        <v>0</v>
      </c>
      <c r="BL712" s="2056" t="s">
        <v>856</v>
      </c>
      <c r="BM712" s="2193" t="s">
        <v>10812</v>
      </c>
    </row>
    <row r="713" spans="2:65" s="2209" customFormat="1">
      <c r="B713" s="2210"/>
      <c r="D713" s="2197" t="s">
        <v>3303</v>
      </c>
      <c r="E713" s="2211" t="s">
        <v>3146</v>
      </c>
      <c r="F713" s="2212" t="s">
        <v>10813</v>
      </c>
      <c r="H713" s="2213">
        <v>971.00099999999998</v>
      </c>
      <c r="L713" s="2210"/>
      <c r="M713" s="2214"/>
      <c r="T713" s="2215"/>
      <c r="AT713" s="2211" t="s">
        <v>3303</v>
      </c>
      <c r="AU713" s="2211" t="s">
        <v>134</v>
      </c>
      <c r="AV713" s="2209" t="s">
        <v>134</v>
      </c>
      <c r="AW713" s="2209" t="s">
        <v>3171</v>
      </c>
      <c r="AX713" s="2209" t="s">
        <v>133</v>
      </c>
      <c r="AY713" s="2211" t="s">
        <v>3285</v>
      </c>
    </row>
    <row r="714" spans="2:65" s="2209" customFormat="1">
      <c r="B714" s="2210"/>
      <c r="D714" s="2197" t="s">
        <v>3303</v>
      </c>
      <c r="F714" s="2212" t="s">
        <v>10814</v>
      </c>
      <c r="H714" s="2213">
        <v>1942.002</v>
      </c>
      <c r="L714" s="2210"/>
      <c r="M714" s="2214"/>
      <c r="T714" s="2215"/>
      <c r="AT714" s="2211" t="s">
        <v>3303</v>
      </c>
      <c r="AU714" s="2211" t="s">
        <v>134</v>
      </c>
      <c r="AV714" s="2209" t="s">
        <v>134</v>
      </c>
      <c r="AW714" s="2209" t="s">
        <v>3148</v>
      </c>
      <c r="AX714" s="2209" t="s">
        <v>133</v>
      </c>
      <c r="AY714" s="2211" t="s">
        <v>3285</v>
      </c>
    </row>
    <row r="715" spans="2:65" s="2070" customFormat="1" ht="33" customHeight="1">
      <c r="B715" s="2164"/>
      <c r="C715" s="4608">
        <v>150</v>
      </c>
      <c r="D715" s="4608" t="s">
        <v>3286</v>
      </c>
      <c r="E715" s="4609" t="s">
        <v>3878</v>
      </c>
      <c r="F715" s="4610" t="s">
        <v>3879</v>
      </c>
      <c r="G715" s="4611" t="s">
        <v>611</v>
      </c>
      <c r="H715" s="4612">
        <v>7233.7</v>
      </c>
      <c r="I715" s="4613"/>
      <c r="J715" s="4613">
        <f>ROUND(I715*H715,2)</f>
        <v>0</v>
      </c>
      <c r="K715" s="4610" t="s">
        <v>142</v>
      </c>
      <c r="L715" s="2071"/>
      <c r="M715" s="2190" t="s">
        <v>3146</v>
      </c>
      <c r="N715" s="2163" t="s">
        <v>3181</v>
      </c>
      <c r="O715" s="2191">
        <v>0.105</v>
      </c>
      <c r="P715" s="2191">
        <f>O715*H715</f>
        <v>759.5385</v>
      </c>
      <c r="Q715" s="2191">
        <v>1.2999999999999999E-4</v>
      </c>
      <c r="R715" s="2191">
        <f>Q715*H715</f>
        <v>0.94038099999999991</v>
      </c>
      <c r="S715" s="2191">
        <v>0</v>
      </c>
      <c r="T715" s="2192">
        <f>S715*H715</f>
        <v>0</v>
      </c>
      <c r="AR715" s="2193" t="s">
        <v>856</v>
      </c>
      <c r="AT715" s="2193" t="s">
        <v>3286</v>
      </c>
      <c r="AU715" s="2193" t="s">
        <v>134</v>
      </c>
      <c r="AY715" s="2056" t="s">
        <v>3285</v>
      </c>
      <c r="BE715" s="2194">
        <f>IF(N715="základní",J715,0)</f>
        <v>0</v>
      </c>
      <c r="BF715" s="2194">
        <f>IF(N715="snížená",J715,0)</f>
        <v>0</v>
      </c>
      <c r="BG715" s="2194">
        <f>IF(N715="zákl. přenesená",J715,0)</f>
        <v>0</v>
      </c>
      <c r="BH715" s="2194">
        <f>IF(N715="sníž. přenesená",J715,0)</f>
        <v>0</v>
      </c>
      <c r="BI715" s="2194">
        <f>IF(N715="nulová",J715,0)</f>
        <v>0</v>
      </c>
      <c r="BJ715" s="2056" t="s">
        <v>134</v>
      </c>
      <c r="BK715" s="2194">
        <f>ROUND(I715*H715,2)</f>
        <v>0</v>
      </c>
      <c r="BL715" s="2056" t="s">
        <v>856</v>
      </c>
      <c r="BM715" s="2193" t="s">
        <v>3880</v>
      </c>
    </row>
    <row r="716" spans="2:65" s="2209" customFormat="1">
      <c r="B716" s="2210"/>
      <c r="D716" s="2197" t="s">
        <v>3303</v>
      </c>
      <c r="F716" s="2212" t="s">
        <v>10815</v>
      </c>
      <c r="H716" s="2213">
        <v>7233.7</v>
      </c>
      <c r="L716" s="2210"/>
      <c r="M716" s="2214"/>
      <c r="T716" s="2215"/>
      <c r="AT716" s="2211" t="s">
        <v>3303</v>
      </c>
      <c r="AU716" s="2211" t="s">
        <v>134</v>
      </c>
      <c r="AV716" s="2209" t="s">
        <v>134</v>
      </c>
      <c r="AW716" s="2209" t="s">
        <v>3148</v>
      </c>
      <c r="AX716" s="2209" t="s">
        <v>133</v>
      </c>
      <c r="AY716" s="2211" t="s">
        <v>3285</v>
      </c>
    </row>
    <row r="717" spans="2:65" s="2070" customFormat="1" ht="24.2" customHeight="1">
      <c r="B717" s="2164"/>
      <c r="C717" s="4608">
        <v>151</v>
      </c>
      <c r="D717" s="4608" t="s">
        <v>3286</v>
      </c>
      <c r="E717" s="4609" t="s">
        <v>3882</v>
      </c>
      <c r="F717" s="4610" t="s">
        <v>3883</v>
      </c>
      <c r="G717" s="4611" t="s">
        <v>611</v>
      </c>
      <c r="H717" s="4612">
        <v>3998.6</v>
      </c>
      <c r="I717" s="4613"/>
      <c r="J717" s="4613">
        <f>ROUND(I717*H717,2)</f>
        <v>0</v>
      </c>
      <c r="K717" s="4610" t="s">
        <v>142</v>
      </c>
      <c r="L717" s="2071"/>
      <c r="M717" s="2190" t="s">
        <v>3146</v>
      </c>
      <c r="N717" s="2163" t="s">
        <v>3181</v>
      </c>
      <c r="O717" s="2191">
        <v>0.308</v>
      </c>
      <c r="P717" s="2191">
        <f>O717*H717</f>
        <v>1231.5688</v>
      </c>
      <c r="Q717" s="2191">
        <v>4.0000000000000003E-5</v>
      </c>
      <c r="R717" s="2191">
        <f>Q717*H717</f>
        <v>0.159944</v>
      </c>
      <c r="S717" s="2191">
        <v>0</v>
      </c>
      <c r="T717" s="2192">
        <f>S717*H717</f>
        <v>0</v>
      </c>
      <c r="AR717" s="2193" t="s">
        <v>856</v>
      </c>
      <c r="AT717" s="2193" t="s">
        <v>3286</v>
      </c>
      <c r="AU717" s="2193" t="s">
        <v>134</v>
      </c>
      <c r="AY717" s="2056" t="s">
        <v>3285</v>
      </c>
      <c r="BE717" s="2194">
        <f>IF(N717="základní",J717,0)</f>
        <v>0</v>
      </c>
      <c r="BF717" s="2194">
        <f>IF(N717="snížená",J717,0)</f>
        <v>0</v>
      </c>
      <c r="BG717" s="2194">
        <f>IF(N717="zákl. přenesená",J717,0)</f>
        <v>0</v>
      </c>
      <c r="BH717" s="2194">
        <f>IF(N717="sníž. přenesená",J717,0)</f>
        <v>0</v>
      </c>
      <c r="BI717" s="2194">
        <f>IF(N717="nulová",J717,0)</f>
        <v>0</v>
      </c>
      <c r="BJ717" s="2056" t="s">
        <v>134</v>
      </c>
      <c r="BK717" s="2194">
        <f>ROUND(I717*H717,2)</f>
        <v>0</v>
      </c>
      <c r="BL717" s="2056" t="s">
        <v>856</v>
      </c>
      <c r="BM717" s="2193" t="s">
        <v>3884</v>
      </c>
    </row>
    <row r="718" spans="2:65" s="2070" customFormat="1" ht="16.5" customHeight="1">
      <c r="B718" s="2164"/>
      <c r="C718" s="5561">
        <v>152</v>
      </c>
      <c r="D718" s="4608" t="s">
        <v>3286</v>
      </c>
      <c r="E718" s="4609" t="s">
        <v>3886</v>
      </c>
      <c r="F718" s="4610" t="s">
        <v>3887</v>
      </c>
      <c r="G718" s="4611" t="s">
        <v>23</v>
      </c>
      <c r="H718" s="4612">
        <v>1</v>
      </c>
      <c r="I718" s="4613"/>
      <c r="J718" s="4613">
        <f>ROUND(I718*H718,2)</f>
        <v>0</v>
      </c>
      <c r="K718" s="4610" t="s">
        <v>3146</v>
      </c>
      <c r="L718" s="2071"/>
      <c r="M718" s="2190" t="s">
        <v>3146</v>
      </c>
      <c r="N718" s="2163" t="s">
        <v>3181</v>
      </c>
      <c r="O718" s="2191">
        <v>0</v>
      </c>
      <c r="P718" s="2191">
        <f>O718*H718</f>
        <v>0</v>
      </c>
      <c r="Q718" s="2191">
        <v>0</v>
      </c>
      <c r="R718" s="2191">
        <f>Q718*H718</f>
        <v>0</v>
      </c>
      <c r="S718" s="2191">
        <v>0</v>
      </c>
      <c r="T718" s="2192">
        <f>S718*H718</f>
        <v>0</v>
      </c>
      <c r="AR718" s="2193" t="s">
        <v>856</v>
      </c>
      <c r="AT718" s="2193" t="s">
        <v>3286</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856</v>
      </c>
      <c r="BM718" s="2193" t="s">
        <v>3888</v>
      </c>
    </row>
    <row r="719" spans="2:65" s="2070" customFormat="1" ht="27" customHeight="1">
      <c r="B719" s="2164"/>
      <c r="C719" s="4608"/>
      <c r="D719" s="4608"/>
      <c r="E719" s="4609"/>
      <c r="F719" s="5563" t="s">
        <v>11618</v>
      </c>
      <c r="G719" s="4611"/>
      <c r="H719" s="4612"/>
      <c r="I719" s="4613"/>
      <c r="J719" s="4613"/>
      <c r="K719" s="4610"/>
      <c r="L719" s="2071"/>
      <c r="M719" s="2190"/>
      <c r="N719" s="2163"/>
      <c r="O719" s="2191"/>
      <c r="P719" s="2191"/>
      <c r="Q719" s="2191"/>
      <c r="R719" s="2191"/>
      <c r="S719" s="2191"/>
      <c r="T719" s="2192"/>
      <c r="AR719" s="2193"/>
      <c r="AT719" s="2193"/>
      <c r="AU719" s="2193"/>
      <c r="AY719" s="2056"/>
      <c r="BE719" s="2194"/>
      <c r="BF719" s="2194"/>
      <c r="BG719" s="2194"/>
      <c r="BH719" s="2194"/>
      <c r="BI719" s="2194"/>
      <c r="BJ719" s="2056"/>
      <c r="BK719" s="2194"/>
      <c r="BL719" s="2056"/>
      <c r="BM719" s="2193"/>
    </row>
    <row r="720" spans="2:65" s="2070" customFormat="1" ht="54" customHeight="1">
      <c r="B720" s="2164"/>
      <c r="C720" s="4608"/>
      <c r="D720" s="4608"/>
      <c r="E720" s="4609"/>
      <c r="F720" s="5563" t="s">
        <v>11620</v>
      </c>
      <c r="G720" s="4611"/>
      <c r="H720" s="4612"/>
      <c r="I720" s="4613"/>
      <c r="J720" s="4613"/>
      <c r="K720" s="4610"/>
      <c r="L720" s="2071"/>
      <c r="M720" s="2190"/>
      <c r="N720" s="2163"/>
      <c r="O720" s="2191"/>
      <c r="P720" s="2191"/>
      <c r="Q720" s="2191"/>
      <c r="R720" s="2191"/>
      <c r="S720" s="2191"/>
      <c r="T720" s="2192"/>
      <c r="AR720" s="2193"/>
      <c r="AT720" s="2193"/>
      <c r="AU720" s="2193"/>
      <c r="AY720" s="2056"/>
      <c r="BE720" s="2194"/>
      <c r="BF720" s="2194"/>
      <c r="BG720" s="2194"/>
      <c r="BH720" s="2194"/>
      <c r="BI720" s="2194"/>
      <c r="BJ720" s="2056"/>
      <c r="BK720" s="2194"/>
      <c r="BL720" s="2056"/>
      <c r="BM720" s="2193"/>
    </row>
    <row r="721" spans="2:65" s="2070" customFormat="1" ht="16.5" customHeight="1">
      <c r="B721" s="2164"/>
      <c r="C721" s="5561">
        <v>153</v>
      </c>
      <c r="D721" s="4608" t="s">
        <v>3286</v>
      </c>
      <c r="E721" s="4609" t="s">
        <v>3890</v>
      </c>
      <c r="F721" s="4610" t="s">
        <v>3891</v>
      </c>
      <c r="G721" s="4611" t="s">
        <v>23</v>
      </c>
      <c r="H721" s="4612">
        <v>1</v>
      </c>
      <c r="I721" s="4613"/>
      <c r="J721" s="4613">
        <f>ROUND(I721*H721,2)</f>
        <v>0</v>
      </c>
      <c r="K721" s="4610" t="s">
        <v>3146</v>
      </c>
      <c r="L721" s="2071"/>
      <c r="M721" s="2190" t="s">
        <v>3146</v>
      </c>
      <c r="N721" s="2163" t="s">
        <v>3181</v>
      </c>
      <c r="O721" s="2191">
        <v>0</v>
      </c>
      <c r="P721" s="2191">
        <f>O721*H721</f>
        <v>0</v>
      </c>
      <c r="Q721" s="2191">
        <v>0</v>
      </c>
      <c r="R721" s="2191">
        <f>Q721*H721</f>
        <v>0</v>
      </c>
      <c r="S721" s="2191">
        <v>0</v>
      </c>
      <c r="T721" s="2192">
        <f>S721*H721</f>
        <v>0</v>
      </c>
      <c r="AR721" s="2193" t="s">
        <v>856</v>
      </c>
      <c r="AT721" s="2193" t="s">
        <v>3286</v>
      </c>
      <c r="AU721" s="2193" t="s">
        <v>134</v>
      </c>
      <c r="AY721" s="2056" t="s">
        <v>3285</v>
      </c>
      <c r="BE721" s="2194">
        <f>IF(N721="základní",J721,0)</f>
        <v>0</v>
      </c>
      <c r="BF721" s="2194">
        <f>IF(N721="snížená",J721,0)</f>
        <v>0</v>
      </c>
      <c r="BG721" s="2194">
        <f>IF(N721="zákl. přenesená",J721,0)</f>
        <v>0</v>
      </c>
      <c r="BH721" s="2194">
        <f>IF(N721="sníž. přenesená",J721,0)</f>
        <v>0</v>
      </c>
      <c r="BI721" s="2194">
        <f>IF(N721="nulová",J721,0)</f>
        <v>0</v>
      </c>
      <c r="BJ721" s="2056" t="s">
        <v>134</v>
      </c>
      <c r="BK721" s="2194">
        <f>ROUND(I721*H721,2)</f>
        <v>0</v>
      </c>
      <c r="BL721" s="2056" t="s">
        <v>856</v>
      </c>
      <c r="BM721" s="2193" t="s">
        <v>3892</v>
      </c>
    </row>
    <row r="722" spans="2:65" s="2070" customFormat="1" ht="27" customHeight="1">
      <c r="B722" s="2164"/>
      <c r="C722" s="4608"/>
      <c r="D722" s="4608"/>
      <c r="E722" s="4609"/>
      <c r="F722" s="5563" t="s">
        <v>11621</v>
      </c>
      <c r="G722" s="4611"/>
      <c r="H722" s="4612"/>
      <c r="I722" s="4613"/>
      <c r="J722" s="4613"/>
      <c r="K722" s="4610"/>
      <c r="L722" s="2071"/>
      <c r="M722" s="2190"/>
      <c r="N722" s="2163"/>
      <c r="O722" s="2191"/>
      <c r="P722" s="2191"/>
      <c r="Q722" s="2191"/>
      <c r="R722" s="2191"/>
      <c r="S722" s="2191"/>
      <c r="T722" s="2192"/>
      <c r="AR722" s="2193"/>
      <c r="AT722" s="2193"/>
      <c r="AU722" s="2193"/>
      <c r="AY722" s="2056"/>
      <c r="BE722" s="2194"/>
      <c r="BF722" s="2194"/>
      <c r="BG722" s="2194"/>
      <c r="BH722" s="2194"/>
      <c r="BI722" s="2194"/>
      <c r="BJ722" s="2056"/>
      <c r="BK722" s="2194"/>
      <c r="BL722" s="2056"/>
      <c r="BM722" s="2193"/>
    </row>
    <row r="723" spans="2:65" s="2070" customFormat="1" ht="148.5" customHeight="1">
      <c r="B723" s="2164"/>
      <c r="C723" s="4608"/>
      <c r="D723" s="4608"/>
      <c r="E723" s="4609"/>
      <c r="F723" s="5563" t="s">
        <v>11622</v>
      </c>
      <c r="G723" s="4611"/>
      <c r="H723" s="4612"/>
      <c r="I723" s="4613"/>
      <c r="J723" s="4613"/>
      <c r="K723" s="4610"/>
      <c r="L723" s="2071"/>
      <c r="M723" s="2190"/>
      <c r="N723" s="2163"/>
      <c r="O723" s="2191"/>
      <c r="P723" s="2191"/>
      <c r="Q723" s="2191"/>
      <c r="R723" s="2191"/>
      <c r="S723" s="2191"/>
      <c r="T723" s="2192"/>
      <c r="AR723" s="2193"/>
      <c r="AT723" s="2193"/>
      <c r="AU723" s="2193"/>
      <c r="AY723" s="2056"/>
      <c r="BE723" s="2194"/>
      <c r="BF723" s="2194"/>
      <c r="BG723" s="2194"/>
      <c r="BH723" s="2194"/>
      <c r="BI723" s="2194"/>
      <c r="BJ723" s="2056"/>
      <c r="BK723" s="2194"/>
      <c r="BL723" s="2056"/>
      <c r="BM723" s="2193"/>
    </row>
    <row r="724" spans="2:65" s="2070" customFormat="1" ht="27" customHeight="1">
      <c r="B724" s="2164"/>
      <c r="C724" s="4608"/>
      <c r="D724" s="4608"/>
      <c r="E724" s="4609"/>
      <c r="F724" s="5563" t="s">
        <v>11619</v>
      </c>
      <c r="G724" s="4611"/>
      <c r="H724" s="4612"/>
      <c r="I724" s="4613"/>
      <c r="J724" s="4613"/>
      <c r="K724" s="4610"/>
      <c r="L724" s="2071"/>
      <c r="M724" s="2190"/>
      <c r="N724" s="2163"/>
      <c r="O724" s="2191"/>
      <c r="P724" s="2191"/>
      <c r="Q724" s="2191"/>
      <c r="R724" s="2191"/>
      <c r="S724" s="2191"/>
      <c r="T724" s="2192"/>
      <c r="AR724" s="2193"/>
      <c r="AT724" s="2193"/>
      <c r="AU724" s="2193"/>
      <c r="AY724" s="2056"/>
      <c r="BE724" s="2194"/>
      <c r="BF724" s="2194"/>
      <c r="BG724" s="2194"/>
      <c r="BH724" s="2194"/>
      <c r="BI724" s="2194"/>
      <c r="BJ724" s="2056"/>
      <c r="BK724" s="2194"/>
      <c r="BL724" s="2056"/>
      <c r="BM724" s="2193"/>
    </row>
    <row r="725" spans="2:65" s="2070" customFormat="1" ht="54" customHeight="1">
      <c r="B725" s="2164"/>
      <c r="C725" s="4608"/>
      <c r="D725" s="4608"/>
      <c r="E725" s="4609"/>
      <c r="F725" s="5563" t="s">
        <v>11623</v>
      </c>
      <c r="G725" s="4611"/>
      <c r="H725" s="4612"/>
      <c r="I725" s="4613"/>
      <c r="J725" s="4613"/>
      <c r="K725" s="4610"/>
      <c r="L725" s="2071"/>
      <c r="M725" s="2190"/>
      <c r="N725" s="2163"/>
      <c r="O725" s="2191"/>
      <c r="P725" s="2191"/>
      <c r="Q725" s="2191"/>
      <c r="R725" s="2191"/>
      <c r="S725" s="2191"/>
      <c r="T725" s="2192"/>
      <c r="AR725" s="2193"/>
      <c r="AT725" s="2193"/>
      <c r="AU725" s="2193"/>
      <c r="AY725" s="2056"/>
      <c r="BE725" s="2194"/>
      <c r="BF725" s="2194"/>
      <c r="BG725" s="2194"/>
      <c r="BH725" s="2194"/>
      <c r="BI725" s="2194"/>
      <c r="BJ725" s="2056"/>
      <c r="BK725" s="2194"/>
      <c r="BL725" s="2056"/>
      <c r="BM725" s="2193"/>
    </row>
    <row r="726" spans="2:65" s="2070" customFormat="1" ht="24.2" customHeight="1">
      <c r="B726" s="2164"/>
      <c r="C726" s="4608">
        <v>154</v>
      </c>
      <c r="D726" s="4608" t="s">
        <v>3286</v>
      </c>
      <c r="E726" s="4609" t="s">
        <v>3894</v>
      </c>
      <c r="F726" s="4610" t="s">
        <v>3895</v>
      </c>
      <c r="G726" s="4611" t="s">
        <v>141</v>
      </c>
      <c r="H726" s="4612">
        <v>60</v>
      </c>
      <c r="I726" s="4613"/>
      <c r="J726" s="4613">
        <f>ROUND(I726*H726,2)</f>
        <v>0</v>
      </c>
      <c r="K726" s="4610" t="s">
        <v>142</v>
      </c>
      <c r="L726" s="2071"/>
      <c r="M726" s="2190" t="s">
        <v>3146</v>
      </c>
      <c r="N726" s="2163" t="s">
        <v>3181</v>
      </c>
      <c r="O726" s="2191">
        <v>0.8</v>
      </c>
      <c r="P726" s="2191">
        <f>O726*H726</f>
        <v>48</v>
      </c>
      <c r="Q726" s="2191">
        <v>1.08E-3</v>
      </c>
      <c r="R726" s="2191">
        <f>Q726*H726</f>
        <v>6.4799999999999996E-2</v>
      </c>
      <c r="S726" s="2191">
        <v>8.5000000000000006E-3</v>
      </c>
      <c r="T726" s="2192">
        <f>S726*H726</f>
        <v>0.51</v>
      </c>
      <c r="AR726" s="2193" t="s">
        <v>856</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856</v>
      </c>
      <c r="BM726" s="2193" t="s">
        <v>3896</v>
      </c>
    </row>
    <row r="727" spans="2:65" s="2070" customFormat="1" ht="24.2" customHeight="1">
      <c r="B727" s="2164"/>
      <c r="C727" s="4608">
        <v>155</v>
      </c>
      <c r="D727" s="4608" t="s">
        <v>3286</v>
      </c>
      <c r="E727" s="4609" t="s">
        <v>3898</v>
      </c>
      <c r="F727" s="4610" t="s">
        <v>3899</v>
      </c>
      <c r="G727" s="4611" t="s">
        <v>141</v>
      </c>
      <c r="H727" s="4612">
        <v>55</v>
      </c>
      <c r="I727" s="4613"/>
      <c r="J727" s="4613">
        <f>ROUND(I727*H727,2)</f>
        <v>0</v>
      </c>
      <c r="K727" s="4610" t="s">
        <v>142</v>
      </c>
      <c r="L727" s="2071"/>
      <c r="M727" s="2190" t="s">
        <v>3146</v>
      </c>
      <c r="N727" s="2163" t="s">
        <v>3181</v>
      </c>
      <c r="O727" s="2191">
        <v>1.5</v>
      </c>
      <c r="P727" s="2191">
        <f>O727*H727</f>
        <v>82.5</v>
      </c>
      <c r="Q727" s="2191">
        <v>1.23E-3</v>
      </c>
      <c r="R727" s="2191">
        <f>Q727*H727</f>
        <v>6.7650000000000002E-2</v>
      </c>
      <c r="S727" s="2191">
        <v>1.7000000000000001E-2</v>
      </c>
      <c r="T727" s="2192">
        <f>S727*H727</f>
        <v>0.93500000000000005</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3900</v>
      </c>
    </row>
    <row r="728" spans="2:65" s="2178" customFormat="1" ht="22.9" customHeight="1">
      <c r="B728" s="2179"/>
      <c r="D728" s="2180" t="s">
        <v>3212</v>
      </c>
      <c r="E728" s="2188" t="s">
        <v>2200</v>
      </c>
      <c r="F728" s="2188" t="s">
        <v>3904</v>
      </c>
      <c r="J728" s="2189">
        <f>BK728</f>
        <v>0</v>
      </c>
      <c r="L728" s="2179"/>
      <c r="M728" s="2183"/>
      <c r="P728" s="2184">
        <f>SUM(P729:P735)</f>
        <v>85.235234999999989</v>
      </c>
      <c r="R728" s="2184">
        <f>SUM(R729:R735)</f>
        <v>0</v>
      </c>
      <c r="T728" s="2185">
        <f>SUM(T729:T735)</f>
        <v>0</v>
      </c>
      <c r="AR728" s="2180" t="s">
        <v>133</v>
      </c>
      <c r="AT728" s="2186" t="s">
        <v>3212</v>
      </c>
      <c r="AU728" s="2186" t="s">
        <v>133</v>
      </c>
      <c r="AY728" s="2180" t="s">
        <v>3285</v>
      </c>
      <c r="BK728" s="2187">
        <f>SUM(BK729:BK735)</f>
        <v>0</v>
      </c>
    </row>
    <row r="729" spans="2:65" s="2070" customFormat="1" ht="24.2" customHeight="1">
      <c r="B729" s="2164"/>
      <c r="C729" s="5561">
        <v>156</v>
      </c>
      <c r="D729" s="4608" t="s">
        <v>3286</v>
      </c>
      <c r="E729" s="4609" t="s">
        <v>3906</v>
      </c>
      <c r="F729" s="4610" t="s">
        <v>3907</v>
      </c>
      <c r="G729" s="4611" t="s">
        <v>302</v>
      </c>
      <c r="H729" s="5568">
        <f>H732+H734</f>
        <v>460.73099999999999</v>
      </c>
      <c r="I729" s="4613"/>
      <c r="J729" s="4613">
        <f>ROUND(I729*H729,2)</f>
        <v>0</v>
      </c>
      <c r="K729" s="4610" t="s">
        <v>142</v>
      </c>
      <c r="L729" s="2071"/>
      <c r="M729" s="2190" t="s">
        <v>3146</v>
      </c>
      <c r="N729" s="2163" t="s">
        <v>3181</v>
      </c>
      <c r="O729" s="2191">
        <v>0.125</v>
      </c>
      <c r="P729" s="2191">
        <f>O729*H729</f>
        <v>57.591374999999999</v>
      </c>
      <c r="Q729" s="2191">
        <v>0</v>
      </c>
      <c r="R729" s="2191">
        <f>Q729*H729</f>
        <v>0</v>
      </c>
      <c r="S729" s="2191">
        <v>0</v>
      </c>
      <c r="T729" s="2192">
        <f>S729*H729</f>
        <v>0</v>
      </c>
      <c r="AR729" s="2193" t="s">
        <v>856</v>
      </c>
      <c r="AT729" s="2193" t="s">
        <v>3286</v>
      </c>
      <c r="AU729" s="2193" t="s">
        <v>134</v>
      </c>
      <c r="AY729" s="2056" t="s">
        <v>3285</v>
      </c>
      <c r="BE729" s="2194">
        <f>IF(N729="základní",J729,0)</f>
        <v>0</v>
      </c>
      <c r="BF729" s="2194">
        <f>IF(N729="snížená",J729,0)</f>
        <v>0</v>
      </c>
      <c r="BG729" s="2194">
        <f>IF(N729="zákl. přenesená",J729,0)</f>
        <v>0</v>
      </c>
      <c r="BH729" s="2194">
        <f>IF(N729="sníž. přenesená",J729,0)</f>
        <v>0</v>
      </c>
      <c r="BI729" s="2194">
        <f>IF(N729="nulová",J729,0)</f>
        <v>0</v>
      </c>
      <c r="BJ729" s="2056" t="s">
        <v>134</v>
      </c>
      <c r="BK729" s="2194">
        <f>ROUND(I729*H729,2)</f>
        <v>0</v>
      </c>
      <c r="BL729" s="2056" t="s">
        <v>856</v>
      </c>
      <c r="BM729" s="2193" t="s">
        <v>3908</v>
      </c>
    </row>
    <row r="730" spans="2:65" s="2070" customFormat="1" ht="24.2" customHeight="1">
      <c r="B730" s="2164"/>
      <c r="C730" s="5561" t="s">
        <v>3917</v>
      </c>
      <c r="D730" s="4608" t="s">
        <v>3286</v>
      </c>
      <c r="E730" s="4609" t="s">
        <v>3910</v>
      </c>
      <c r="F730" s="4610" t="s">
        <v>3911</v>
      </c>
      <c r="G730" s="4611" t="s">
        <v>302</v>
      </c>
      <c r="H730" s="5568">
        <f>H731</f>
        <v>4607.3099999999995</v>
      </c>
      <c r="I730" s="4613"/>
      <c r="J730" s="4613">
        <f>ROUND(I730*H730,2)</f>
        <v>0</v>
      </c>
      <c r="K730" s="4610" t="s">
        <v>142</v>
      </c>
      <c r="L730" s="2071"/>
      <c r="M730" s="2190" t="s">
        <v>3146</v>
      </c>
      <c r="N730" s="2163" t="s">
        <v>3181</v>
      </c>
      <c r="O730" s="2191">
        <v>6.0000000000000001E-3</v>
      </c>
      <c r="P730" s="2191">
        <f>O730*H730</f>
        <v>27.643859999999997</v>
      </c>
      <c r="Q730" s="2191">
        <v>0</v>
      </c>
      <c r="R730" s="2191">
        <f>Q730*H730</f>
        <v>0</v>
      </c>
      <c r="S730" s="2191">
        <v>0</v>
      </c>
      <c r="T730" s="2192">
        <f>S730*H730</f>
        <v>0</v>
      </c>
      <c r="AR730" s="2193" t="s">
        <v>856</v>
      </c>
      <c r="AT730" s="2193" t="s">
        <v>3286</v>
      </c>
      <c r="AU730" s="2193" t="s">
        <v>134</v>
      </c>
      <c r="AY730" s="2056" t="s">
        <v>3285</v>
      </c>
      <c r="BE730" s="2194">
        <f>IF(N730="základní",J730,0)</f>
        <v>0</v>
      </c>
      <c r="BF730" s="2194">
        <f>IF(N730="snížená",J730,0)</f>
        <v>0</v>
      </c>
      <c r="BG730" s="2194">
        <f>IF(N730="zákl. přenesená",J730,0)</f>
        <v>0</v>
      </c>
      <c r="BH730" s="2194">
        <f>IF(N730="sníž. přenesená",J730,0)</f>
        <v>0</v>
      </c>
      <c r="BI730" s="2194">
        <f>IF(N730="nulová",J730,0)</f>
        <v>0</v>
      </c>
      <c r="BJ730" s="2056" t="s">
        <v>134</v>
      </c>
      <c r="BK730" s="2194">
        <f>ROUND(I730*H730,2)</f>
        <v>0</v>
      </c>
      <c r="BL730" s="2056" t="s">
        <v>856</v>
      </c>
      <c r="BM730" s="2193" t="s">
        <v>3912</v>
      </c>
    </row>
    <row r="731" spans="2:65" s="2209" customFormat="1">
      <c r="B731" s="2210"/>
      <c r="D731" s="2197" t="s">
        <v>3303</v>
      </c>
      <c r="F731" s="2212" t="s">
        <v>11780</v>
      </c>
      <c r="H731" s="5569">
        <f>460.731*10</f>
        <v>4607.3099999999995</v>
      </c>
      <c r="L731" s="2210"/>
      <c r="M731" s="2214"/>
      <c r="T731" s="2215"/>
      <c r="AT731" s="2211" t="s">
        <v>3303</v>
      </c>
      <c r="AU731" s="2211" t="s">
        <v>134</v>
      </c>
      <c r="AV731" s="2209" t="s">
        <v>134</v>
      </c>
      <c r="AW731" s="2209" t="s">
        <v>3148</v>
      </c>
      <c r="AX731" s="2209" t="s">
        <v>133</v>
      </c>
      <c r="AY731" s="2211" t="s">
        <v>3285</v>
      </c>
    </row>
    <row r="732" spans="2:65" s="2070" customFormat="1" ht="37.9" customHeight="1">
      <c r="B732" s="2164"/>
      <c r="C732" s="5561" t="s">
        <v>3922</v>
      </c>
      <c r="D732" s="4608" t="s">
        <v>3286</v>
      </c>
      <c r="E732" s="4609" t="s">
        <v>3914</v>
      </c>
      <c r="F732" s="4610" t="s">
        <v>3915</v>
      </c>
      <c r="G732" s="4611" t="s">
        <v>302</v>
      </c>
      <c r="H732" s="5568">
        <f>H733</f>
        <v>42.731000000000002</v>
      </c>
      <c r="I732" s="4613"/>
      <c r="J732" s="4613">
        <f>ROUND(I732*H732,2)</f>
        <v>0</v>
      </c>
      <c r="K732" s="4610" t="s">
        <v>142</v>
      </c>
      <c r="L732" s="2071"/>
      <c r="M732" s="2190" t="s">
        <v>3146</v>
      </c>
      <c r="N732" s="2163" t="s">
        <v>3181</v>
      </c>
      <c r="O732" s="2191">
        <v>0</v>
      </c>
      <c r="P732" s="2191">
        <f>O732*H732</f>
        <v>0</v>
      </c>
      <c r="Q732" s="2191">
        <v>0</v>
      </c>
      <c r="R732" s="2191">
        <f>Q732*H732</f>
        <v>0</v>
      </c>
      <c r="S732" s="2191">
        <v>0</v>
      </c>
      <c r="T732" s="2192">
        <f>S732*H732</f>
        <v>0</v>
      </c>
      <c r="AR732" s="2193" t="s">
        <v>856</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856</v>
      </c>
      <c r="BM732" s="2193" t="s">
        <v>3916</v>
      </c>
    </row>
    <row r="733" spans="2:65" s="2209" customFormat="1">
      <c r="B733" s="2210"/>
      <c r="D733" s="2197" t="s">
        <v>3303</v>
      </c>
      <c r="E733" s="2211" t="s">
        <v>3146</v>
      </c>
      <c r="F733" s="5560">
        <v>42.731000000000002</v>
      </c>
      <c r="G733" s="5574"/>
      <c r="H733" s="5569">
        <f>F733</f>
        <v>42.731000000000002</v>
      </c>
      <c r="L733" s="2210"/>
      <c r="M733" s="2214"/>
      <c r="T733" s="2215"/>
      <c r="AT733" s="2211" t="s">
        <v>3303</v>
      </c>
      <c r="AU733" s="2211" t="s">
        <v>134</v>
      </c>
      <c r="AV733" s="2209" t="s">
        <v>134</v>
      </c>
      <c r="AW733" s="2209" t="s">
        <v>3171</v>
      </c>
      <c r="AX733" s="2209" t="s">
        <v>133</v>
      </c>
      <c r="AY733" s="2211" t="s">
        <v>3285</v>
      </c>
    </row>
    <row r="734" spans="2:65" s="2070" customFormat="1" ht="44.25" customHeight="1">
      <c r="B734" s="2164"/>
      <c r="C734" s="5561" t="s">
        <v>3926</v>
      </c>
      <c r="D734" s="4608" t="s">
        <v>3286</v>
      </c>
      <c r="E734" s="4609" t="s">
        <v>3918</v>
      </c>
      <c r="F734" s="4610" t="s">
        <v>3919</v>
      </c>
      <c r="G734" s="4611" t="s">
        <v>302</v>
      </c>
      <c r="H734" s="4612">
        <v>418</v>
      </c>
      <c r="I734" s="4613"/>
      <c r="J734" s="4613">
        <f>ROUND(I734*H734,2)</f>
        <v>0</v>
      </c>
      <c r="K734" s="4610" t="s">
        <v>142</v>
      </c>
      <c r="L734" s="2071"/>
      <c r="M734" s="2190" t="s">
        <v>3146</v>
      </c>
      <c r="N734" s="2163" t="s">
        <v>3181</v>
      </c>
      <c r="O734" s="2191">
        <v>0</v>
      </c>
      <c r="P734" s="2191">
        <f>O734*H734</f>
        <v>0</v>
      </c>
      <c r="Q734" s="2191">
        <v>0</v>
      </c>
      <c r="R734" s="2191">
        <f>Q734*H734</f>
        <v>0</v>
      </c>
      <c r="S734" s="2191">
        <v>0</v>
      </c>
      <c r="T734" s="2192">
        <f>S734*H734</f>
        <v>0</v>
      </c>
      <c r="V734" s="2243"/>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3920</v>
      </c>
    </row>
    <row r="735" spans="2:65" s="2209" customFormat="1">
      <c r="B735" s="2210"/>
      <c r="D735" s="2197" t="s">
        <v>3303</v>
      </c>
      <c r="E735" s="2211" t="s">
        <v>3146</v>
      </c>
      <c r="F735" s="5560">
        <v>418</v>
      </c>
      <c r="H735" s="2213">
        <v>418</v>
      </c>
      <c r="L735" s="2210"/>
      <c r="M735" s="2214"/>
      <c r="T735" s="2215"/>
      <c r="AT735" s="2211" t="s">
        <v>3303</v>
      </c>
      <c r="AU735" s="2211" t="s">
        <v>134</v>
      </c>
      <c r="AV735" s="2209" t="s">
        <v>134</v>
      </c>
      <c r="AW735" s="2209" t="s">
        <v>3171</v>
      </c>
      <c r="AX735" s="2209" t="s">
        <v>133</v>
      </c>
      <c r="AY735" s="2211" t="s">
        <v>3285</v>
      </c>
    </row>
    <row r="736" spans="2:65" s="2178" customFormat="1" ht="22.9" customHeight="1">
      <c r="B736" s="2179"/>
      <c r="D736" s="2180" t="s">
        <v>3212</v>
      </c>
      <c r="E736" s="2188" t="s">
        <v>3921</v>
      </c>
      <c r="F736" s="2188" t="s">
        <v>988</v>
      </c>
      <c r="J736" s="2189">
        <f>BK736</f>
        <v>0</v>
      </c>
      <c r="L736" s="2179"/>
      <c r="M736" s="2183"/>
      <c r="P736" s="2184">
        <f>SUM(P737:P742)</f>
        <v>14483.598232000002</v>
      </c>
      <c r="R736" s="2184">
        <f>SUM(R737:R742)</f>
        <v>0</v>
      </c>
      <c r="T736" s="2185">
        <f>SUM(T737:T742)</f>
        <v>0</v>
      </c>
      <c r="AR736" s="2180" t="s">
        <v>133</v>
      </c>
      <c r="AT736" s="2186" t="s">
        <v>3212</v>
      </c>
      <c r="AU736" s="2186" t="s">
        <v>133</v>
      </c>
      <c r="AY736" s="2180" t="s">
        <v>3285</v>
      </c>
      <c r="BK736" s="2187">
        <f>SUM(BK737:BK742)</f>
        <v>0</v>
      </c>
    </row>
    <row r="737" spans="2:65" s="2070" customFormat="1" ht="24.2" customHeight="1">
      <c r="B737" s="2164"/>
      <c r="C737" s="5561" t="s">
        <v>3929</v>
      </c>
      <c r="D737" s="4608" t="s">
        <v>3286</v>
      </c>
      <c r="E737" s="4609" t="s">
        <v>3923</v>
      </c>
      <c r="F737" s="4610" t="s">
        <v>3924</v>
      </c>
      <c r="G737" s="4611" t="s">
        <v>302</v>
      </c>
      <c r="H737" s="5568">
        <f>H738</f>
        <v>765.88499999999999</v>
      </c>
      <c r="I737" s="4613"/>
      <c r="J737" s="4613">
        <f>ROUND(I737*H737,2)</f>
        <v>0</v>
      </c>
      <c r="K737" s="4610" t="s">
        <v>142</v>
      </c>
      <c r="L737" s="2071"/>
      <c r="M737" s="2190" t="s">
        <v>3146</v>
      </c>
      <c r="N737" s="2163" t="s">
        <v>3181</v>
      </c>
      <c r="O737" s="2191">
        <v>0.624</v>
      </c>
      <c r="P737" s="2191">
        <f>O737*H737</f>
        <v>477.91224</v>
      </c>
      <c r="Q737" s="2191">
        <v>0</v>
      </c>
      <c r="R737" s="2191">
        <f>Q737*H737</f>
        <v>0</v>
      </c>
      <c r="S737" s="2191">
        <v>0</v>
      </c>
      <c r="T737" s="2192">
        <f>S737*H737</f>
        <v>0</v>
      </c>
      <c r="AR737" s="2193" t="s">
        <v>856</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856</v>
      </c>
      <c r="BM737" s="2193" t="s">
        <v>3925</v>
      </c>
    </row>
    <row r="738" spans="2:65" s="2209" customFormat="1">
      <c r="B738" s="2210"/>
      <c r="D738" s="2197" t="s">
        <v>3303</v>
      </c>
      <c r="E738" s="2211" t="s">
        <v>3146</v>
      </c>
      <c r="F738" s="5560">
        <v>765.88499999999999</v>
      </c>
      <c r="H738" s="5569">
        <v>765.88499999999999</v>
      </c>
      <c r="L738" s="2210"/>
      <c r="M738" s="2214"/>
      <c r="T738" s="2215"/>
      <c r="AT738" s="2211" t="s">
        <v>3303</v>
      </c>
      <c r="AU738" s="2211" t="s">
        <v>134</v>
      </c>
      <c r="AV738" s="2209" t="s">
        <v>134</v>
      </c>
      <c r="AW738" s="2209" t="s">
        <v>3171</v>
      </c>
      <c r="AX738" s="2209" t="s">
        <v>133</v>
      </c>
      <c r="AY738" s="2211" t="s">
        <v>3285</v>
      </c>
    </row>
    <row r="739" spans="2:65" s="2070" customFormat="1" ht="21.75" customHeight="1">
      <c r="B739" s="2164"/>
      <c r="C739" s="5561" t="s">
        <v>3933</v>
      </c>
      <c r="D739" s="4608" t="s">
        <v>3286</v>
      </c>
      <c r="E739" s="4609" t="s">
        <v>3927</v>
      </c>
      <c r="F739" s="4610" t="s">
        <v>3928</v>
      </c>
      <c r="G739" s="4611" t="s">
        <v>302</v>
      </c>
      <c r="H739" s="5568">
        <f>H740</f>
        <v>3951.9430000000002</v>
      </c>
      <c r="I739" s="4613"/>
      <c r="J739" s="4613">
        <f>ROUND(I739*H739,2)</f>
        <v>0</v>
      </c>
      <c r="K739" s="4610" t="s">
        <v>142</v>
      </c>
      <c r="L739" s="2071"/>
      <c r="M739" s="2190" t="s">
        <v>3146</v>
      </c>
      <c r="N739" s="2163" t="s">
        <v>3181</v>
      </c>
      <c r="O739" s="2191">
        <v>0.46500000000000002</v>
      </c>
      <c r="P739" s="2191">
        <f>O739*H739</f>
        <v>1837.6534950000002</v>
      </c>
      <c r="Q739" s="2191">
        <v>0</v>
      </c>
      <c r="R739" s="2191">
        <f>Q739*H739</f>
        <v>0</v>
      </c>
      <c r="S739" s="2191">
        <v>0</v>
      </c>
      <c r="T739" s="2192">
        <f>S739*H739</f>
        <v>0</v>
      </c>
      <c r="AR739" s="2193" t="s">
        <v>856</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856</v>
      </c>
      <c r="BM739" s="2193" t="s">
        <v>10816</v>
      </c>
    </row>
    <row r="740" spans="2:65" s="2209" customFormat="1">
      <c r="B740" s="2210"/>
      <c r="D740" s="2197" t="s">
        <v>3303</v>
      </c>
      <c r="F740" s="5560" t="s">
        <v>11779</v>
      </c>
      <c r="H740" s="5569">
        <f>(8669.771-765.885)*0.5</f>
        <v>3951.9430000000002</v>
      </c>
      <c r="L740" s="2210"/>
      <c r="M740" s="2214"/>
      <c r="T740" s="2215"/>
      <c r="AT740" s="2211" t="s">
        <v>3303</v>
      </c>
      <c r="AU740" s="2211" t="s">
        <v>134</v>
      </c>
      <c r="AV740" s="2209" t="s">
        <v>134</v>
      </c>
      <c r="AW740" s="2209" t="s">
        <v>3148</v>
      </c>
      <c r="AX740" s="2209" t="s">
        <v>133</v>
      </c>
      <c r="AY740" s="2211" t="s">
        <v>3285</v>
      </c>
    </row>
    <row r="741" spans="2:65" s="2070" customFormat="1" ht="24.2" customHeight="1">
      <c r="B741" s="2164"/>
      <c r="C741" s="5561" t="s">
        <v>3934</v>
      </c>
      <c r="D741" s="4608" t="s">
        <v>3286</v>
      </c>
      <c r="E741" s="4609" t="s">
        <v>4328</v>
      </c>
      <c r="F741" s="4610" t="s">
        <v>4329</v>
      </c>
      <c r="G741" s="4611" t="s">
        <v>302</v>
      </c>
      <c r="H741" s="5568">
        <f>H742</f>
        <v>3951.9430000000002</v>
      </c>
      <c r="I741" s="4613"/>
      <c r="J741" s="4613">
        <f>ROUND(I741*H741,2)</f>
        <v>0</v>
      </c>
      <c r="K741" s="4610" t="s">
        <v>142</v>
      </c>
      <c r="L741" s="2071"/>
      <c r="M741" s="2190" t="s">
        <v>3146</v>
      </c>
      <c r="N741" s="2163" t="s">
        <v>3181</v>
      </c>
      <c r="O741" s="2191">
        <v>3.0790000000000002</v>
      </c>
      <c r="P741" s="2191">
        <f>O741*H741</f>
        <v>12168.032497000002</v>
      </c>
      <c r="Q741" s="2191">
        <v>0</v>
      </c>
      <c r="R741" s="2191">
        <f>Q741*H741</f>
        <v>0</v>
      </c>
      <c r="S741" s="2191">
        <v>0</v>
      </c>
      <c r="T741" s="2192">
        <f>S741*H741</f>
        <v>0</v>
      </c>
      <c r="AR741" s="2193" t="s">
        <v>856</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856</v>
      </c>
      <c r="BM741" s="2193" t="s">
        <v>3930</v>
      </c>
    </row>
    <row r="742" spans="2:65" s="2209" customFormat="1">
      <c r="B742" s="2210"/>
      <c r="D742" s="2197" t="s">
        <v>3303</v>
      </c>
      <c r="F742" s="5560" t="s">
        <v>11779</v>
      </c>
      <c r="H742" s="5569">
        <f>(8669.771-765.885)*0.5</f>
        <v>3951.9430000000002</v>
      </c>
      <c r="L742" s="2210"/>
      <c r="M742" s="2214"/>
      <c r="T742" s="2215"/>
      <c r="AT742" s="2211" t="s">
        <v>3303</v>
      </c>
      <c r="AU742" s="2211" t="s">
        <v>134</v>
      </c>
      <c r="AV742" s="2209" t="s">
        <v>134</v>
      </c>
      <c r="AW742" s="2209" t="s">
        <v>3148</v>
      </c>
      <c r="AX742" s="2209" t="s">
        <v>133</v>
      </c>
      <c r="AY742" s="2211" t="s">
        <v>3285</v>
      </c>
    </row>
    <row r="743" spans="2:65" s="2178" customFormat="1" ht="25.9" customHeight="1">
      <c r="B743" s="2179"/>
      <c r="D743" s="2180" t="s">
        <v>3212</v>
      </c>
      <c r="E743" s="2181" t="s">
        <v>995</v>
      </c>
      <c r="F743" s="2181" t="s">
        <v>996</v>
      </c>
      <c r="J743" s="2182">
        <f>BK743</f>
        <v>0</v>
      </c>
      <c r="L743" s="2179"/>
      <c r="M743" s="2183"/>
      <c r="P743" s="2184" t="e">
        <f>P744+P777+P894+P985+P1076+#REF!+P1095+P1124+P1139+P1158</f>
        <v>#REF!</v>
      </c>
      <c r="R743" s="2184" t="e">
        <f>R744+R777+R894+R985+R1076+#REF!+R1095+R1124+R1139+R1158</f>
        <v>#REF!</v>
      </c>
      <c r="T743" s="2185" t="e">
        <f>T744+T777+T894+T985+T1076+#REF!+T1095+T1124+T1139+T1158</f>
        <v>#REF!</v>
      </c>
      <c r="AR743" s="2180" t="s">
        <v>134</v>
      </c>
      <c r="AT743" s="2186" t="s">
        <v>3212</v>
      </c>
      <c r="AU743" s="2186" t="s">
        <v>3213</v>
      </c>
      <c r="AY743" s="2180" t="s">
        <v>3285</v>
      </c>
      <c r="BK743" s="2187">
        <f>SUM(BK744,BK777,BK894,BK985,BK1076,BL1078,BK1078,BK1084,BK1095,BK1124,BK1139,BK1158)</f>
        <v>0</v>
      </c>
    </row>
    <row r="744" spans="2:65" s="2178" customFormat="1" ht="22.9" customHeight="1">
      <c r="B744" s="2179"/>
      <c r="D744" s="2180" t="s">
        <v>3212</v>
      </c>
      <c r="E744" s="2188" t="s">
        <v>1873</v>
      </c>
      <c r="F744" s="2188" t="s">
        <v>1874</v>
      </c>
      <c r="J744" s="2189">
        <f>BK744</f>
        <v>0</v>
      </c>
      <c r="L744" s="2179"/>
      <c r="M744" s="2183"/>
      <c r="P744" s="2184">
        <f>SUM(P745:P776)</f>
        <v>1545.4113080000002</v>
      </c>
      <c r="R744" s="2184">
        <f>SUM(R745:R776)</f>
        <v>9.5503625599999999</v>
      </c>
      <c r="T744" s="2185">
        <f>SUM(T745:T776)</f>
        <v>0</v>
      </c>
      <c r="AR744" s="2180" t="s">
        <v>134</v>
      </c>
      <c r="AT744" s="2186" t="s">
        <v>3212</v>
      </c>
      <c r="AU744" s="2186" t="s">
        <v>133</v>
      </c>
      <c r="AY744" s="2180" t="s">
        <v>3285</v>
      </c>
      <c r="BK744" s="2187">
        <f>SUM(BK745:BK776)</f>
        <v>0</v>
      </c>
    </row>
    <row r="745" spans="2:65" s="2070" customFormat="1" ht="24.2" customHeight="1">
      <c r="B745" s="2164"/>
      <c r="C745" s="4608" t="s">
        <v>3935</v>
      </c>
      <c r="D745" s="4608" t="s">
        <v>3286</v>
      </c>
      <c r="E745" s="4609" t="s">
        <v>3937</v>
      </c>
      <c r="F745" s="4610" t="s">
        <v>3938</v>
      </c>
      <c r="G745" s="4611" t="s">
        <v>611</v>
      </c>
      <c r="H745" s="4612">
        <v>1148.0519999999999</v>
      </c>
      <c r="I745" s="4613"/>
      <c r="J745" s="4613">
        <f>ROUND(I745*H745,2)</f>
        <v>0</v>
      </c>
      <c r="K745" s="4610" t="s">
        <v>142</v>
      </c>
      <c r="L745" s="2071"/>
      <c r="M745" s="2190" t="s">
        <v>3146</v>
      </c>
      <c r="N745" s="2163" t="s">
        <v>3181</v>
      </c>
      <c r="O745" s="2191">
        <v>0.13500000000000001</v>
      </c>
      <c r="P745" s="2191">
        <f>O745*H745</f>
        <v>154.98702</v>
      </c>
      <c r="Q745" s="2191">
        <v>1.4999999999999999E-4</v>
      </c>
      <c r="R745" s="2191">
        <f>Q745*H745</f>
        <v>0.17220779999999997</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3939</v>
      </c>
    </row>
    <row r="746" spans="2:65" s="2209" customFormat="1">
      <c r="B746" s="2210"/>
      <c r="D746" s="2197" t="s">
        <v>3303</v>
      </c>
      <c r="E746" s="2211" t="s">
        <v>3146</v>
      </c>
      <c r="F746" s="2212" t="s">
        <v>3940</v>
      </c>
      <c r="H746" s="2213">
        <v>1104.49</v>
      </c>
      <c r="L746" s="2210"/>
      <c r="M746" s="2214"/>
      <c r="T746" s="2215"/>
      <c r="AT746" s="2211" t="s">
        <v>3303</v>
      </c>
      <c r="AU746" s="2211" t="s">
        <v>134</v>
      </c>
      <c r="AV746" s="2209" t="s">
        <v>134</v>
      </c>
      <c r="AW746" s="2209" t="s">
        <v>3171</v>
      </c>
      <c r="AX746" s="2209" t="s">
        <v>3213</v>
      </c>
      <c r="AY746" s="2211" t="s">
        <v>3285</v>
      </c>
    </row>
    <row r="747" spans="2:65" s="2209" customFormat="1">
      <c r="B747" s="2210"/>
      <c r="D747" s="2197" t="s">
        <v>3303</v>
      </c>
      <c r="E747" s="2211" t="s">
        <v>3146</v>
      </c>
      <c r="F747" s="2212" t="s">
        <v>3941</v>
      </c>
      <c r="H747" s="2213">
        <v>23.161999999999999</v>
      </c>
      <c r="L747" s="2210"/>
      <c r="M747" s="2214"/>
      <c r="T747" s="2215"/>
      <c r="AT747" s="2211" t="s">
        <v>3303</v>
      </c>
      <c r="AU747" s="2211" t="s">
        <v>134</v>
      </c>
      <c r="AV747" s="2209" t="s">
        <v>134</v>
      </c>
      <c r="AW747" s="2209" t="s">
        <v>3171</v>
      </c>
      <c r="AX747" s="2209" t="s">
        <v>3213</v>
      </c>
      <c r="AY747" s="2211" t="s">
        <v>3285</v>
      </c>
    </row>
    <row r="748" spans="2:65" s="2209" customFormat="1">
      <c r="B748" s="2210"/>
      <c r="D748" s="2197" t="s">
        <v>3303</v>
      </c>
      <c r="E748" s="2211" t="s">
        <v>3146</v>
      </c>
      <c r="F748" s="2212" t="s">
        <v>3942</v>
      </c>
      <c r="H748" s="2213">
        <v>20.399999999999999</v>
      </c>
      <c r="L748" s="2210"/>
      <c r="M748" s="2214"/>
      <c r="T748" s="2215"/>
      <c r="AT748" s="2211" t="s">
        <v>3303</v>
      </c>
      <c r="AU748" s="2211" t="s">
        <v>134</v>
      </c>
      <c r="AV748" s="2209" t="s">
        <v>134</v>
      </c>
      <c r="AW748" s="2209" t="s">
        <v>3171</v>
      </c>
      <c r="AX748" s="2209" t="s">
        <v>3213</v>
      </c>
      <c r="AY748" s="2211" t="s">
        <v>3285</v>
      </c>
    </row>
    <row r="749" spans="2:65" s="2216" customFormat="1">
      <c r="B749" s="2217"/>
      <c r="D749" s="2197" t="s">
        <v>3303</v>
      </c>
      <c r="E749" s="2218" t="s">
        <v>3146</v>
      </c>
      <c r="F749" s="2219" t="s">
        <v>3306</v>
      </c>
      <c r="H749" s="2220">
        <v>1148.0519999999999</v>
      </c>
      <c r="L749" s="2217"/>
      <c r="M749" s="2221"/>
      <c r="T749" s="2222"/>
      <c r="AT749" s="2218" t="s">
        <v>3303</v>
      </c>
      <c r="AU749" s="2218" t="s">
        <v>134</v>
      </c>
      <c r="AV749" s="2216" t="s">
        <v>856</v>
      </c>
      <c r="AW749" s="2216" t="s">
        <v>3171</v>
      </c>
      <c r="AX749" s="2216" t="s">
        <v>133</v>
      </c>
      <c r="AY749" s="2218" t="s">
        <v>3285</v>
      </c>
    </row>
    <row r="750" spans="2:65" s="2070" customFormat="1" ht="16.5" customHeight="1">
      <c r="B750" s="2164"/>
      <c r="C750" s="4614" t="s">
        <v>3936</v>
      </c>
      <c r="D750" s="4614" t="s">
        <v>135</v>
      </c>
      <c r="E750" s="4615" t="s">
        <v>3944</v>
      </c>
      <c r="F750" s="4616" t="s">
        <v>3945</v>
      </c>
      <c r="G750" s="4617" t="s">
        <v>611</v>
      </c>
      <c r="H750" s="4618">
        <v>1338.0550000000001</v>
      </c>
      <c r="I750" s="4619"/>
      <c r="J750" s="4619">
        <f>ROUND(I750*H750,2)</f>
        <v>0</v>
      </c>
      <c r="K750" s="4616" t="s">
        <v>142</v>
      </c>
      <c r="L750" s="2223"/>
      <c r="M750" s="2224" t="s">
        <v>3146</v>
      </c>
      <c r="N750" s="2225" t="s">
        <v>3181</v>
      </c>
      <c r="O750" s="2191">
        <v>0</v>
      </c>
      <c r="P750" s="2191">
        <f>O750*H750</f>
        <v>0</v>
      </c>
      <c r="Q750" s="2191">
        <v>1E-3</v>
      </c>
      <c r="R750" s="2191">
        <f>Q750*H750</f>
        <v>1.338055</v>
      </c>
      <c r="S750" s="2191">
        <v>0</v>
      </c>
      <c r="T750" s="2192">
        <f>S750*H750</f>
        <v>0</v>
      </c>
      <c r="AR750" s="2193" t="s">
        <v>3389</v>
      </c>
      <c r="AT750" s="2193" t="s">
        <v>135</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3946</v>
      </c>
    </row>
    <row r="751" spans="2:65" s="2209" customFormat="1">
      <c r="B751" s="2210"/>
      <c r="D751" s="2197" t="s">
        <v>3303</v>
      </c>
      <c r="F751" s="2212" t="s">
        <v>3947</v>
      </c>
      <c r="H751" s="2213">
        <v>1338.0550000000001</v>
      </c>
      <c r="L751" s="2210"/>
      <c r="M751" s="2214"/>
      <c r="T751" s="2215"/>
      <c r="AT751" s="2211" t="s">
        <v>3303</v>
      </c>
      <c r="AU751" s="2211" t="s">
        <v>134</v>
      </c>
      <c r="AV751" s="2209" t="s">
        <v>134</v>
      </c>
      <c r="AW751" s="2209" t="s">
        <v>3148</v>
      </c>
      <c r="AX751" s="2209" t="s">
        <v>133</v>
      </c>
      <c r="AY751" s="2211" t="s">
        <v>3285</v>
      </c>
    </row>
    <row r="752" spans="2:65" s="2070" customFormat="1" ht="24.2" customHeight="1">
      <c r="B752" s="2164"/>
      <c r="C752" s="4608" t="s">
        <v>3943</v>
      </c>
      <c r="D752" s="4608" t="s">
        <v>3286</v>
      </c>
      <c r="E752" s="4609" t="s">
        <v>3949</v>
      </c>
      <c r="F752" s="4610" t="s">
        <v>3950</v>
      </c>
      <c r="G752" s="4611" t="s">
        <v>611</v>
      </c>
      <c r="H752" s="4612">
        <v>841.68600000000004</v>
      </c>
      <c r="I752" s="4613"/>
      <c r="J752" s="4613">
        <f>ROUND(I752*H752,2)</f>
        <v>0</v>
      </c>
      <c r="K752" s="4610" t="s">
        <v>142</v>
      </c>
      <c r="L752" s="2071"/>
      <c r="M752" s="2190" t="s">
        <v>3146</v>
      </c>
      <c r="N752" s="2163" t="s">
        <v>3181</v>
      </c>
      <c r="O752" s="2191">
        <v>0.152</v>
      </c>
      <c r="P752" s="2191">
        <f>O752*H752</f>
        <v>127.936272</v>
      </c>
      <c r="Q752" s="2191">
        <v>1.4999999999999999E-4</v>
      </c>
      <c r="R752" s="2191">
        <f>Q752*H752</f>
        <v>0.1262529</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3951</v>
      </c>
    </row>
    <row r="753" spans="2:65" s="2209" customFormat="1">
      <c r="B753" s="2210"/>
      <c r="D753" s="2197" t="s">
        <v>3303</v>
      </c>
      <c r="E753" s="2211" t="s">
        <v>3146</v>
      </c>
      <c r="F753" s="2212" t="s">
        <v>3723</v>
      </c>
      <c r="H753" s="2213">
        <v>642.54600000000005</v>
      </c>
      <c r="L753" s="2210"/>
      <c r="M753" s="2214"/>
      <c r="T753" s="2215"/>
      <c r="AT753" s="2211" t="s">
        <v>3303</v>
      </c>
      <c r="AU753" s="2211" t="s">
        <v>134</v>
      </c>
      <c r="AV753" s="2209" t="s">
        <v>134</v>
      </c>
      <c r="AW753" s="2209" t="s">
        <v>3171</v>
      </c>
      <c r="AX753" s="2209" t="s">
        <v>3213</v>
      </c>
      <c r="AY753" s="2211" t="s">
        <v>3285</v>
      </c>
    </row>
    <row r="754" spans="2:65" s="2209" customFormat="1">
      <c r="B754" s="2210"/>
      <c r="D754" s="2197" t="s">
        <v>3303</v>
      </c>
      <c r="E754" s="2211" t="s">
        <v>3146</v>
      </c>
      <c r="F754" s="2212" t="s">
        <v>3952</v>
      </c>
      <c r="H754" s="2213">
        <v>170.56800000000001</v>
      </c>
      <c r="L754" s="2210"/>
      <c r="M754" s="2214"/>
      <c r="T754" s="2215"/>
      <c r="AT754" s="2211" t="s">
        <v>3303</v>
      </c>
      <c r="AU754" s="2211" t="s">
        <v>134</v>
      </c>
      <c r="AV754" s="2209" t="s">
        <v>134</v>
      </c>
      <c r="AW754" s="2209" t="s">
        <v>3171</v>
      </c>
      <c r="AX754" s="2209" t="s">
        <v>3213</v>
      </c>
      <c r="AY754" s="2211" t="s">
        <v>3285</v>
      </c>
    </row>
    <row r="755" spans="2:65" s="2209" customFormat="1">
      <c r="B755" s="2210"/>
      <c r="D755" s="2197" t="s">
        <v>3303</v>
      </c>
      <c r="E755" s="2211" t="s">
        <v>3146</v>
      </c>
      <c r="F755" s="2212" t="s">
        <v>3953</v>
      </c>
      <c r="H755" s="2213">
        <v>28.571999999999999</v>
      </c>
      <c r="L755" s="2210"/>
      <c r="M755" s="2214"/>
      <c r="T755" s="2215"/>
      <c r="AT755" s="2211" t="s">
        <v>3303</v>
      </c>
      <c r="AU755" s="2211" t="s">
        <v>134</v>
      </c>
      <c r="AV755" s="2209" t="s">
        <v>134</v>
      </c>
      <c r="AW755" s="2209" t="s">
        <v>3171</v>
      </c>
      <c r="AX755" s="2209" t="s">
        <v>3213</v>
      </c>
      <c r="AY755" s="2211" t="s">
        <v>3285</v>
      </c>
    </row>
    <row r="756" spans="2:65" s="2216" customFormat="1">
      <c r="B756" s="2217"/>
      <c r="D756" s="2197" t="s">
        <v>3303</v>
      </c>
      <c r="E756" s="2218" t="s">
        <v>3146</v>
      </c>
      <c r="F756" s="2219" t="s">
        <v>3306</v>
      </c>
      <c r="H756" s="2220">
        <v>841.68600000000004</v>
      </c>
      <c r="L756" s="2217"/>
      <c r="M756" s="2221"/>
      <c r="T756" s="2222"/>
      <c r="AT756" s="2218" t="s">
        <v>3303</v>
      </c>
      <c r="AU756" s="2218" t="s">
        <v>134</v>
      </c>
      <c r="AV756" s="2216" t="s">
        <v>856</v>
      </c>
      <c r="AW756" s="2216" t="s">
        <v>3171</v>
      </c>
      <c r="AX756" s="2216" t="s">
        <v>133</v>
      </c>
      <c r="AY756" s="2218" t="s">
        <v>3285</v>
      </c>
    </row>
    <row r="757" spans="2:65" s="2070" customFormat="1" ht="16.5" customHeight="1">
      <c r="B757" s="2164"/>
      <c r="C757" s="4614" t="s">
        <v>3948</v>
      </c>
      <c r="D757" s="4614" t="s">
        <v>135</v>
      </c>
      <c r="E757" s="4615" t="s">
        <v>3944</v>
      </c>
      <c r="F757" s="4616" t="s">
        <v>3945</v>
      </c>
      <c r="G757" s="4617" t="s">
        <v>611</v>
      </c>
      <c r="H757" s="4618">
        <v>1027.6990000000001</v>
      </c>
      <c r="I757" s="4619"/>
      <c r="J757" s="4619">
        <f>ROUND(I757*H757,2)</f>
        <v>0</v>
      </c>
      <c r="K757" s="4616" t="s">
        <v>142</v>
      </c>
      <c r="L757" s="2223"/>
      <c r="M757" s="2224" t="s">
        <v>3146</v>
      </c>
      <c r="N757" s="2225" t="s">
        <v>3181</v>
      </c>
      <c r="O757" s="2191">
        <v>0</v>
      </c>
      <c r="P757" s="2191">
        <f>O757*H757</f>
        <v>0</v>
      </c>
      <c r="Q757" s="2191">
        <v>1E-3</v>
      </c>
      <c r="R757" s="2191">
        <f>Q757*H757</f>
        <v>1.0276990000000001</v>
      </c>
      <c r="S757" s="2191">
        <v>0</v>
      </c>
      <c r="T757" s="2192">
        <f>S757*H757</f>
        <v>0</v>
      </c>
      <c r="AR757" s="2193" t="s">
        <v>3389</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3955</v>
      </c>
    </row>
    <row r="758" spans="2:65" s="2209" customFormat="1">
      <c r="B758" s="2210"/>
      <c r="D758" s="2197" t="s">
        <v>3303</v>
      </c>
      <c r="F758" s="2212" t="s">
        <v>3956</v>
      </c>
      <c r="H758" s="2213">
        <v>1027.6990000000001</v>
      </c>
      <c r="L758" s="2210"/>
      <c r="M758" s="2214"/>
      <c r="T758" s="2215"/>
      <c r="AT758" s="2211" t="s">
        <v>3303</v>
      </c>
      <c r="AU758" s="2211" t="s">
        <v>134</v>
      </c>
      <c r="AV758" s="2209" t="s">
        <v>134</v>
      </c>
      <c r="AW758" s="2209" t="s">
        <v>3148</v>
      </c>
      <c r="AX758" s="2209" t="s">
        <v>133</v>
      </c>
      <c r="AY758" s="2211" t="s">
        <v>3285</v>
      </c>
    </row>
    <row r="759" spans="2:65" s="2070" customFormat="1" ht="24.2" customHeight="1">
      <c r="B759" s="2164"/>
      <c r="C759" s="4608" t="s">
        <v>3954</v>
      </c>
      <c r="D759" s="4608" t="s">
        <v>3286</v>
      </c>
      <c r="E759" s="4609" t="s">
        <v>3958</v>
      </c>
      <c r="F759" s="4610" t="s">
        <v>2818</v>
      </c>
      <c r="G759" s="4611" t="s">
        <v>611</v>
      </c>
      <c r="H759" s="4612">
        <v>554.04899999999998</v>
      </c>
      <c r="I759" s="4613"/>
      <c r="J759" s="4613">
        <f>ROUND(I759*H759,2)</f>
        <v>0</v>
      </c>
      <c r="K759" s="4610" t="s">
        <v>142</v>
      </c>
      <c r="L759" s="2071"/>
      <c r="M759" s="2190" t="s">
        <v>3146</v>
      </c>
      <c r="N759" s="2163" t="s">
        <v>3181</v>
      </c>
      <c r="O759" s="2191">
        <v>0.122</v>
      </c>
      <c r="P759" s="2191">
        <f>O759*H759</f>
        <v>67.593977999999993</v>
      </c>
      <c r="Q759" s="2191">
        <v>8.0000000000000004E-4</v>
      </c>
      <c r="R759" s="2191">
        <f>Q759*H759</f>
        <v>0.4432392</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3959</v>
      </c>
    </row>
    <row r="760" spans="2:65" s="2070" customFormat="1" ht="24.2" customHeight="1">
      <c r="B760" s="2164"/>
      <c r="C760" s="4608" t="s">
        <v>3957</v>
      </c>
      <c r="D760" s="4608" t="s">
        <v>3286</v>
      </c>
      <c r="E760" s="4609" t="s">
        <v>3961</v>
      </c>
      <c r="F760" s="4610" t="s">
        <v>3962</v>
      </c>
      <c r="G760" s="4611" t="s">
        <v>611</v>
      </c>
      <c r="H760" s="4612">
        <v>1148.0519999999999</v>
      </c>
      <c r="I760" s="4613"/>
      <c r="J760" s="4613">
        <f>ROUND(I760*H760,2)</f>
        <v>0</v>
      </c>
      <c r="K760" s="4610" t="s">
        <v>142</v>
      </c>
      <c r="L760" s="2071"/>
      <c r="M760" s="2190" t="s">
        <v>3146</v>
      </c>
      <c r="N760" s="2163" t="s">
        <v>3181</v>
      </c>
      <c r="O760" s="2191">
        <v>0.28999999999999998</v>
      </c>
      <c r="P760" s="2191">
        <f>O760*H760</f>
        <v>332.93507999999997</v>
      </c>
      <c r="Q760" s="2191">
        <v>3.0000000000000001E-5</v>
      </c>
      <c r="R760" s="2191">
        <f>Q760*H760</f>
        <v>3.4441559999999996E-2</v>
      </c>
      <c r="S760" s="2191">
        <v>0</v>
      </c>
      <c r="T760" s="2192">
        <f>S760*H760</f>
        <v>0</v>
      </c>
      <c r="AR760" s="2193" t="s">
        <v>2894</v>
      </c>
      <c r="AT760" s="2193" t="s">
        <v>3286</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3963</v>
      </c>
    </row>
    <row r="761" spans="2:65" s="2070" customFormat="1" ht="21.75" customHeight="1">
      <c r="B761" s="2164"/>
      <c r="C761" s="4614" t="s">
        <v>3960</v>
      </c>
      <c r="D761" s="4614" t="s">
        <v>135</v>
      </c>
      <c r="E761" s="4615" t="s">
        <v>3965</v>
      </c>
      <c r="F761" s="4616" t="s">
        <v>3966</v>
      </c>
      <c r="G761" s="4617" t="s">
        <v>611</v>
      </c>
      <c r="H761" s="4618">
        <v>1338.0550000000001</v>
      </c>
      <c r="I761" s="4619"/>
      <c r="J761" s="4619">
        <f>ROUND(I761*H761,2)</f>
        <v>0</v>
      </c>
      <c r="K761" s="4616" t="s">
        <v>142</v>
      </c>
      <c r="L761" s="2223"/>
      <c r="M761" s="2224" t="s">
        <v>3146</v>
      </c>
      <c r="N761" s="2225" t="s">
        <v>3181</v>
      </c>
      <c r="O761" s="2191">
        <v>0</v>
      </c>
      <c r="P761" s="2191">
        <f>O761*H761</f>
        <v>0</v>
      </c>
      <c r="Q761" s="2191">
        <v>2.0999999999999999E-3</v>
      </c>
      <c r="R761" s="2191">
        <f>Q761*H761</f>
        <v>2.8099154999999998</v>
      </c>
      <c r="S761" s="2191">
        <v>0</v>
      </c>
      <c r="T761" s="2192">
        <f>S761*H761</f>
        <v>0</v>
      </c>
      <c r="AR761" s="2193" t="s">
        <v>3389</v>
      </c>
      <c r="AT761" s="2193" t="s">
        <v>135</v>
      </c>
      <c r="AU761" s="2193" t="s">
        <v>134</v>
      </c>
      <c r="AY761" s="2056" t="s">
        <v>3285</v>
      </c>
      <c r="BE761" s="2194">
        <f>IF(N761="základní",J761,0)</f>
        <v>0</v>
      </c>
      <c r="BF761" s="2194">
        <f>IF(N761="snížená",J761,0)</f>
        <v>0</v>
      </c>
      <c r="BG761" s="2194">
        <f>IF(N761="zákl. přenesená",J761,0)</f>
        <v>0</v>
      </c>
      <c r="BH761" s="2194">
        <f>IF(N761="sníž. přenesená",J761,0)</f>
        <v>0</v>
      </c>
      <c r="BI761" s="2194">
        <f>IF(N761="nulová",J761,0)</f>
        <v>0</v>
      </c>
      <c r="BJ761" s="2056" t="s">
        <v>134</v>
      </c>
      <c r="BK761" s="2194">
        <f>ROUND(I761*H761,2)</f>
        <v>0</v>
      </c>
      <c r="BL761" s="2056" t="s">
        <v>2894</v>
      </c>
      <c r="BM761" s="2193" t="s">
        <v>3967</v>
      </c>
    </row>
    <row r="762" spans="2:65" s="2209" customFormat="1">
      <c r="B762" s="2210"/>
      <c r="D762" s="2197" t="s">
        <v>3303</v>
      </c>
      <c r="F762" s="2212" t="s">
        <v>3947</v>
      </c>
      <c r="H762" s="2213">
        <v>1338.0550000000001</v>
      </c>
      <c r="L762" s="2210"/>
      <c r="M762" s="2214"/>
      <c r="T762" s="2215"/>
      <c r="AT762" s="2211" t="s">
        <v>3303</v>
      </c>
      <c r="AU762" s="2211" t="s">
        <v>134</v>
      </c>
      <c r="AV762" s="2209" t="s">
        <v>134</v>
      </c>
      <c r="AW762" s="2209" t="s">
        <v>3148</v>
      </c>
      <c r="AX762" s="2209" t="s">
        <v>133</v>
      </c>
      <c r="AY762" s="2211" t="s">
        <v>3285</v>
      </c>
    </row>
    <row r="763" spans="2:65" s="2070" customFormat="1" ht="24.2" customHeight="1">
      <c r="B763" s="2164"/>
      <c r="C763" s="4608" t="s">
        <v>3964</v>
      </c>
      <c r="D763" s="4608" t="s">
        <v>3286</v>
      </c>
      <c r="E763" s="4609" t="s">
        <v>3969</v>
      </c>
      <c r="F763" s="4610" t="s">
        <v>3970</v>
      </c>
      <c r="G763" s="4611" t="s">
        <v>611</v>
      </c>
      <c r="H763" s="4612">
        <v>841.68600000000004</v>
      </c>
      <c r="I763" s="4613"/>
      <c r="J763" s="4613">
        <f>ROUND(I763*H763,2)</f>
        <v>0</v>
      </c>
      <c r="K763" s="4610" t="s">
        <v>142</v>
      </c>
      <c r="L763" s="2071"/>
      <c r="M763" s="2190" t="s">
        <v>3146</v>
      </c>
      <c r="N763" s="2163" t="s">
        <v>3181</v>
      </c>
      <c r="O763" s="2191">
        <v>0.35599999999999998</v>
      </c>
      <c r="P763" s="2191">
        <f>O763*H763</f>
        <v>299.64021600000001</v>
      </c>
      <c r="Q763" s="2191">
        <v>5.0000000000000002E-5</v>
      </c>
      <c r="R763" s="2191">
        <f>Q763*H763</f>
        <v>4.2084300000000005E-2</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3971</v>
      </c>
    </row>
    <row r="764" spans="2:65" s="2070" customFormat="1" ht="21.75" customHeight="1">
      <c r="B764" s="2164"/>
      <c r="C764" s="4614" t="s">
        <v>3968</v>
      </c>
      <c r="D764" s="4614" t="s">
        <v>135</v>
      </c>
      <c r="E764" s="4615" t="s">
        <v>3965</v>
      </c>
      <c r="F764" s="4616" t="s">
        <v>3966</v>
      </c>
      <c r="G764" s="4617" t="s">
        <v>611</v>
      </c>
      <c r="H764" s="4618">
        <v>1027.6990000000001</v>
      </c>
      <c r="I764" s="4619"/>
      <c r="J764" s="4619">
        <f>ROUND(I764*H764,2)</f>
        <v>0</v>
      </c>
      <c r="K764" s="4616" t="s">
        <v>142</v>
      </c>
      <c r="L764" s="2223"/>
      <c r="M764" s="2224" t="s">
        <v>3146</v>
      </c>
      <c r="N764" s="2225" t="s">
        <v>3181</v>
      </c>
      <c r="O764" s="2191">
        <v>0</v>
      </c>
      <c r="P764" s="2191">
        <f>O764*H764</f>
        <v>0</v>
      </c>
      <c r="Q764" s="2191">
        <v>2.0999999999999999E-3</v>
      </c>
      <c r="R764" s="2191">
        <f>Q764*H764</f>
        <v>2.1581679</v>
      </c>
      <c r="S764" s="2191">
        <v>0</v>
      </c>
      <c r="T764" s="2192">
        <f>S764*H764</f>
        <v>0</v>
      </c>
      <c r="AR764" s="2193" t="s">
        <v>3389</v>
      </c>
      <c r="AT764" s="2193" t="s">
        <v>135</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3973</v>
      </c>
    </row>
    <row r="765" spans="2:65" s="2209" customFormat="1">
      <c r="B765" s="2210"/>
      <c r="D765" s="2197" t="s">
        <v>3303</v>
      </c>
      <c r="F765" s="2212" t="s">
        <v>3956</v>
      </c>
      <c r="H765" s="2213">
        <v>1027.6990000000001</v>
      </c>
      <c r="L765" s="2210"/>
      <c r="M765" s="2214"/>
      <c r="T765" s="2215"/>
      <c r="AT765" s="2211" t="s">
        <v>3303</v>
      </c>
      <c r="AU765" s="2211" t="s">
        <v>134</v>
      </c>
      <c r="AV765" s="2209" t="s">
        <v>134</v>
      </c>
      <c r="AW765" s="2209" t="s">
        <v>3148</v>
      </c>
      <c r="AX765" s="2209" t="s">
        <v>133</v>
      </c>
      <c r="AY765" s="2211" t="s">
        <v>3285</v>
      </c>
    </row>
    <row r="766" spans="2:65" s="2070" customFormat="1" ht="24.2" customHeight="1">
      <c r="B766" s="2164"/>
      <c r="C766" s="4608" t="s">
        <v>3972</v>
      </c>
      <c r="D766" s="4608" t="s">
        <v>3286</v>
      </c>
      <c r="E766" s="4609" t="s">
        <v>3975</v>
      </c>
      <c r="F766" s="4610" t="s">
        <v>3976</v>
      </c>
      <c r="G766" s="4611" t="s">
        <v>611</v>
      </c>
      <c r="H766" s="4612">
        <v>1148.0519999999999</v>
      </c>
      <c r="I766" s="4613"/>
      <c r="J766" s="4613">
        <f>ROUND(I766*H766,2)</f>
        <v>0</v>
      </c>
      <c r="K766" s="4610" t="s">
        <v>142</v>
      </c>
      <c r="L766" s="2071"/>
      <c r="M766" s="2190" t="s">
        <v>3146</v>
      </c>
      <c r="N766" s="2163" t="s">
        <v>3181</v>
      </c>
      <c r="O766" s="2191">
        <v>0.09</v>
      </c>
      <c r="P766" s="2191">
        <f>O766*H766</f>
        <v>103.32467999999999</v>
      </c>
      <c r="Q766" s="2191">
        <v>0</v>
      </c>
      <c r="R766" s="2191">
        <f>Q766*H766</f>
        <v>0</v>
      </c>
      <c r="S766" s="2191">
        <v>0</v>
      </c>
      <c r="T766" s="2192">
        <f>S766*H766</f>
        <v>0</v>
      </c>
      <c r="AR766" s="2193" t="s">
        <v>2894</v>
      </c>
      <c r="AT766" s="2193" t="s">
        <v>3286</v>
      </c>
      <c r="AU766" s="2193" t="s">
        <v>134</v>
      </c>
      <c r="AY766" s="2056" t="s">
        <v>3285</v>
      </c>
      <c r="BE766" s="2194">
        <f>IF(N766="základní",J766,0)</f>
        <v>0</v>
      </c>
      <c r="BF766" s="2194">
        <f>IF(N766="snížená",J766,0)</f>
        <v>0</v>
      </c>
      <c r="BG766" s="2194">
        <f>IF(N766="zákl. přenesená",J766,0)</f>
        <v>0</v>
      </c>
      <c r="BH766" s="2194">
        <f>IF(N766="sníž. přenesená",J766,0)</f>
        <v>0</v>
      </c>
      <c r="BI766" s="2194">
        <f>IF(N766="nulová",J766,0)</f>
        <v>0</v>
      </c>
      <c r="BJ766" s="2056" t="s">
        <v>134</v>
      </c>
      <c r="BK766" s="2194">
        <f>ROUND(I766*H766,2)</f>
        <v>0</v>
      </c>
      <c r="BL766" s="2056" t="s">
        <v>2894</v>
      </c>
      <c r="BM766" s="2193" t="s">
        <v>3977</v>
      </c>
    </row>
    <row r="767" spans="2:65" s="2070" customFormat="1" ht="24.2" customHeight="1">
      <c r="B767" s="2164"/>
      <c r="C767" s="4614" t="s">
        <v>3974</v>
      </c>
      <c r="D767" s="4614" t="s">
        <v>135</v>
      </c>
      <c r="E767" s="4615" t="s">
        <v>3979</v>
      </c>
      <c r="F767" s="4616" t="s">
        <v>3980</v>
      </c>
      <c r="G767" s="4617" t="s">
        <v>611</v>
      </c>
      <c r="H767" s="4618">
        <v>2640.52</v>
      </c>
      <c r="I767" s="4619"/>
      <c r="J767" s="4619">
        <f>ROUND(I767*H767,2)</f>
        <v>0</v>
      </c>
      <c r="K767" s="4616" t="s">
        <v>142</v>
      </c>
      <c r="L767" s="2223"/>
      <c r="M767" s="2224" t="s">
        <v>3146</v>
      </c>
      <c r="N767" s="2225" t="s">
        <v>3181</v>
      </c>
      <c r="O767" s="2191">
        <v>0</v>
      </c>
      <c r="P767" s="2191">
        <f>O767*H767</f>
        <v>0</v>
      </c>
      <c r="Q767" s="2191">
        <v>2.9999999999999997E-4</v>
      </c>
      <c r="R767" s="2191">
        <f>Q767*H767</f>
        <v>0.79215599999999997</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3981</v>
      </c>
    </row>
    <row r="768" spans="2:65" s="2209" customFormat="1">
      <c r="B768" s="2210"/>
      <c r="D768" s="2197" t="s">
        <v>3303</v>
      </c>
      <c r="E768" s="2211" t="s">
        <v>3146</v>
      </c>
      <c r="F768" s="2212" t="s">
        <v>3982</v>
      </c>
      <c r="H768" s="2213">
        <v>2296.1039999999998</v>
      </c>
      <c r="L768" s="2210"/>
      <c r="M768" s="2214"/>
      <c r="T768" s="2215"/>
      <c r="AT768" s="2211" t="s">
        <v>3303</v>
      </c>
      <c r="AU768" s="2211" t="s">
        <v>134</v>
      </c>
      <c r="AV768" s="2209" t="s">
        <v>134</v>
      </c>
      <c r="AW768" s="2209" t="s">
        <v>3171</v>
      </c>
      <c r="AX768" s="2209" t="s">
        <v>133</v>
      </c>
      <c r="AY768" s="2211" t="s">
        <v>3285</v>
      </c>
    </row>
    <row r="769" spans="2:65" s="2209" customFormat="1">
      <c r="B769" s="2210"/>
      <c r="D769" s="2197" t="s">
        <v>3303</v>
      </c>
      <c r="F769" s="2212" t="s">
        <v>3983</v>
      </c>
      <c r="H769" s="2213">
        <v>2640.52</v>
      </c>
      <c r="L769" s="2210"/>
      <c r="M769" s="2214"/>
      <c r="T769" s="2215"/>
      <c r="AT769" s="2211" t="s">
        <v>3303</v>
      </c>
      <c r="AU769" s="2211" t="s">
        <v>134</v>
      </c>
      <c r="AV769" s="2209" t="s">
        <v>134</v>
      </c>
      <c r="AW769" s="2209" t="s">
        <v>3148</v>
      </c>
      <c r="AX769" s="2209" t="s">
        <v>133</v>
      </c>
      <c r="AY769" s="2211" t="s">
        <v>3285</v>
      </c>
    </row>
    <row r="770" spans="2:65" s="2070" customFormat="1" ht="24.2" customHeight="1">
      <c r="B770" s="2164"/>
      <c r="C770" s="4608" t="s">
        <v>3978</v>
      </c>
      <c r="D770" s="4608" t="s">
        <v>3286</v>
      </c>
      <c r="E770" s="4609" t="s">
        <v>3985</v>
      </c>
      <c r="F770" s="4610" t="s">
        <v>3986</v>
      </c>
      <c r="G770" s="4611" t="s">
        <v>611</v>
      </c>
      <c r="H770" s="4612">
        <v>1148.0519999999999</v>
      </c>
      <c r="I770" s="4613"/>
      <c r="J770" s="4613">
        <f>ROUND(I770*H770,2)</f>
        <v>0</v>
      </c>
      <c r="K770" s="4610" t="s">
        <v>142</v>
      </c>
      <c r="L770" s="2071"/>
      <c r="M770" s="2190" t="s">
        <v>3146</v>
      </c>
      <c r="N770" s="2163" t="s">
        <v>3181</v>
      </c>
      <c r="O770" s="2191">
        <v>0.11</v>
      </c>
      <c r="P770" s="2191">
        <f>O770*H770</f>
        <v>126.28571999999998</v>
      </c>
      <c r="Q770" s="2191">
        <v>0</v>
      </c>
      <c r="R770" s="2191">
        <f>Q770*H770</f>
        <v>0</v>
      </c>
      <c r="S770" s="2191">
        <v>0</v>
      </c>
      <c r="T770" s="2192">
        <f>S770*H770</f>
        <v>0</v>
      </c>
      <c r="AR770" s="2193" t="s">
        <v>2894</v>
      </c>
      <c r="AT770" s="2193" t="s">
        <v>3286</v>
      </c>
      <c r="AU770" s="2193" t="s">
        <v>134</v>
      </c>
      <c r="AY770" s="2056" t="s">
        <v>3285</v>
      </c>
      <c r="BE770" s="2194">
        <f>IF(N770="základní",J770,0)</f>
        <v>0</v>
      </c>
      <c r="BF770" s="2194">
        <f>IF(N770="snížená",J770,0)</f>
        <v>0</v>
      </c>
      <c r="BG770" s="2194">
        <f>IF(N770="zákl. přenesená",J770,0)</f>
        <v>0</v>
      </c>
      <c r="BH770" s="2194">
        <f>IF(N770="sníž. přenesená",J770,0)</f>
        <v>0</v>
      </c>
      <c r="BI770" s="2194">
        <f>IF(N770="nulová",J770,0)</f>
        <v>0</v>
      </c>
      <c r="BJ770" s="2056" t="s">
        <v>134</v>
      </c>
      <c r="BK770" s="2194">
        <f>ROUND(I770*H770,2)</f>
        <v>0</v>
      </c>
      <c r="BL770" s="2056" t="s">
        <v>2894</v>
      </c>
      <c r="BM770" s="2193" t="s">
        <v>3987</v>
      </c>
    </row>
    <row r="771" spans="2:65" s="2070" customFormat="1" ht="24.2" customHeight="1">
      <c r="B771" s="2164"/>
      <c r="C771" s="4608" t="s">
        <v>3984</v>
      </c>
      <c r="D771" s="4608" t="s">
        <v>3286</v>
      </c>
      <c r="E771" s="4609" t="s">
        <v>3989</v>
      </c>
      <c r="F771" s="4610" t="s">
        <v>3990</v>
      </c>
      <c r="G771" s="4611" t="s">
        <v>611</v>
      </c>
      <c r="H771" s="4612">
        <v>841.86599999999999</v>
      </c>
      <c r="I771" s="4613"/>
      <c r="J771" s="4613">
        <f>ROUND(I771*H771,2)</f>
        <v>0</v>
      </c>
      <c r="K771" s="4610" t="s">
        <v>142</v>
      </c>
      <c r="L771" s="2071"/>
      <c r="M771" s="2190" t="s">
        <v>3146</v>
      </c>
      <c r="N771" s="2163" t="s">
        <v>3181</v>
      </c>
      <c r="O771" s="2191">
        <v>0.16600000000000001</v>
      </c>
      <c r="P771" s="2191">
        <f>O771*H771</f>
        <v>139.74975599999999</v>
      </c>
      <c r="Q771" s="2191">
        <v>0</v>
      </c>
      <c r="R771" s="2191">
        <f>Q771*H771</f>
        <v>0</v>
      </c>
      <c r="S771" s="2191">
        <v>0</v>
      </c>
      <c r="T771" s="2192">
        <f>S771*H771</f>
        <v>0</v>
      </c>
      <c r="AR771" s="2193" t="s">
        <v>2894</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2894</v>
      </c>
      <c r="BM771" s="2193" t="s">
        <v>3991</v>
      </c>
    </row>
    <row r="772" spans="2:65" s="2070" customFormat="1" ht="24.2" customHeight="1">
      <c r="B772" s="2164"/>
      <c r="C772" s="4614" t="s">
        <v>3988</v>
      </c>
      <c r="D772" s="4614" t="s">
        <v>135</v>
      </c>
      <c r="E772" s="4615" t="s">
        <v>3979</v>
      </c>
      <c r="F772" s="4616" t="s">
        <v>3980</v>
      </c>
      <c r="G772" s="4617" t="s">
        <v>611</v>
      </c>
      <c r="H772" s="4618">
        <v>2020.4780000000001</v>
      </c>
      <c r="I772" s="4619"/>
      <c r="J772" s="4619">
        <f>ROUND(I772*H772,2)</f>
        <v>0</v>
      </c>
      <c r="K772" s="4616" t="s">
        <v>142</v>
      </c>
      <c r="L772" s="2223"/>
      <c r="M772" s="2224" t="s">
        <v>3146</v>
      </c>
      <c r="N772" s="2225" t="s">
        <v>3181</v>
      </c>
      <c r="O772" s="2191">
        <v>0</v>
      </c>
      <c r="P772" s="2191">
        <f>O772*H772</f>
        <v>0</v>
      </c>
      <c r="Q772" s="2191">
        <v>2.9999999999999997E-4</v>
      </c>
      <c r="R772" s="2191">
        <f>Q772*H772</f>
        <v>0.6061434</v>
      </c>
      <c r="S772" s="2191">
        <v>0</v>
      </c>
      <c r="T772" s="2192">
        <f>S772*H772</f>
        <v>0</v>
      </c>
      <c r="AR772" s="2193" t="s">
        <v>3389</v>
      </c>
      <c r="AT772" s="2193" t="s">
        <v>135</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3993</v>
      </c>
    </row>
    <row r="773" spans="2:65" s="2209" customFormat="1">
      <c r="B773" s="2210"/>
      <c r="D773" s="2197" t="s">
        <v>3303</v>
      </c>
      <c r="E773" s="2211" t="s">
        <v>3146</v>
      </c>
      <c r="F773" s="2212" t="s">
        <v>3994</v>
      </c>
      <c r="H773" s="2213">
        <v>2020.4780000000001</v>
      </c>
      <c r="L773" s="2210"/>
      <c r="M773" s="2214"/>
      <c r="T773" s="2215"/>
      <c r="AT773" s="2211" t="s">
        <v>3303</v>
      </c>
      <c r="AU773" s="2211" t="s">
        <v>134</v>
      </c>
      <c r="AV773" s="2209" t="s">
        <v>134</v>
      </c>
      <c r="AW773" s="2209" t="s">
        <v>3171</v>
      </c>
      <c r="AX773" s="2209" t="s">
        <v>133</v>
      </c>
      <c r="AY773" s="2211" t="s">
        <v>3285</v>
      </c>
    </row>
    <row r="774" spans="2:65" s="2070" customFormat="1" ht="24.2" customHeight="1">
      <c r="B774" s="2164"/>
      <c r="C774" s="4608" t="s">
        <v>3992</v>
      </c>
      <c r="D774" s="4608" t="s">
        <v>3286</v>
      </c>
      <c r="E774" s="4609" t="s">
        <v>3996</v>
      </c>
      <c r="F774" s="4610" t="s">
        <v>3997</v>
      </c>
      <c r="G774" s="4611" t="s">
        <v>611</v>
      </c>
      <c r="H774" s="4612">
        <v>841.86599999999999</v>
      </c>
      <c r="I774" s="4613"/>
      <c r="J774" s="4613">
        <f>ROUND(I774*H774,2)</f>
        <v>0</v>
      </c>
      <c r="K774" s="4610" t="s">
        <v>142</v>
      </c>
      <c r="L774" s="2071"/>
      <c r="M774" s="2190" t="s">
        <v>3146</v>
      </c>
      <c r="N774" s="2163" t="s">
        <v>3181</v>
      </c>
      <c r="O774" s="2191">
        <v>0.19600000000000001</v>
      </c>
      <c r="P774" s="2191">
        <f>O774*H774</f>
        <v>165.00573600000001</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f>ROUND(I774*H774,2)</f>
        <v>0</v>
      </c>
      <c r="BL774" s="2056" t="s">
        <v>2894</v>
      </c>
      <c r="BM774" s="2193" t="s">
        <v>3998</v>
      </c>
    </row>
    <row r="775" spans="2:65" s="2070" customFormat="1" ht="24.2" customHeight="1">
      <c r="B775" s="2164"/>
      <c r="C775" s="4608" t="s">
        <v>3995</v>
      </c>
      <c r="D775" s="4608" t="s">
        <v>3286</v>
      </c>
      <c r="E775" s="4609" t="s">
        <v>4000</v>
      </c>
      <c r="F775" s="4610" t="s">
        <v>4001</v>
      </c>
      <c r="G775" s="4611" t="s">
        <v>302</v>
      </c>
      <c r="H775" s="4612">
        <v>9.5500000000000007</v>
      </c>
      <c r="I775" s="4613"/>
      <c r="J775" s="4613">
        <f>ROUND(I775*H775,2)</f>
        <v>0</v>
      </c>
      <c r="K775" s="4610" t="s">
        <v>142</v>
      </c>
      <c r="L775" s="2071"/>
      <c r="M775" s="2190" t="s">
        <v>3146</v>
      </c>
      <c r="N775" s="2163" t="s">
        <v>3181</v>
      </c>
      <c r="O775" s="2191">
        <v>1.5669999999999999</v>
      </c>
      <c r="P775" s="2191">
        <f>O775*H775</f>
        <v>14.96485</v>
      </c>
      <c r="Q775" s="2191">
        <v>0</v>
      </c>
      <c r="R775" s="2191">
        <f>Q775*H775</f>
        <v>0</v>
      </c>
      <c r="S775" s="2191">
        <v>0</v>
      </c>
      <c r="T775" s="2192">
        <f>S775*H775</f>
        <v>0</v>
      </c>
      <c r="AR775" s="2193" t="s">
        <v>2894</v>
      </c>
      <c r="AT775" s="2193" t="s">
        <v>3286</v>
      </c>
      <c r="AU775" s="2193" t="s">
        <v>134</v>
      </c>
      <c r="AY775" s="2056" t="s">
        <v>3285</v>
      </c>
      <c r="BE775" s="2194">
        <f>IF(N775="základní",J775,0)</f>
        <v>0</v>
      </c>
      <c r="BF775" s="2194">
        <f>IF(N775="snížená",J775,0)</f>
        <v>0</v>
      </c>
      <c r="BG775" s="2194">
        <f>IF(N775="zákl. přenesená",J775,0)</f>
        <v>0</v>
      </c>
      <c r="BH775" s="2194">
        <f>IF(N775="sníž. přenesená",J775,0)</f>
        <v>0</v>
      </c>
      <c r="BI775" s="2194">
        <f>IF(N775="nulová",J775,0)</f>
        <v>0</v>
      </c>
      <c r="BJ775" s="2056" t="s">
        <v>134</v>
      </c>
      <c r="BK775" s="2194">
        <f>ROUND(I775*H775,2)</f>
        <v>0</v>
      </c>
      <c r="BL775" s="2056" t="s">
        <v>2894</v>
      </c>
      <c r="BM775" s="2193" t="s">
        <v>4002</v>
      </c>
    </row>
    <row r="776" spans="2:65" s="2070" customFormat="1" ht="24.2" customHeight="1">
      <c r="B776" s="2164"/>
      <c r="C776" s="4608" t="s">
        <v>3999</v>
      </c>
      <c r="D776" s="4608" t="s">
        <v>3286</v>
      </c>
      <c r="E776" s="4609" t="s">
        <v>4004</v>
      </c>
      <c r="F776" s="4610" t="s">
        <v>4005</v>
      </c>
      <c r="G776" s="4611" t="s">
        <v>302</v>
      </c>
      <c r="H776" s="4612">
        <v>9.5500000000000007</v>
      </c>
      <c r="I776" s="4613"/>
      <c r="J776" s="4613">
        <f>ROUND(I776*H776,2)</f>
        <v>0</v>
      </c>
      <c r="K776" s="4610" t="s">
        <v>142</v>
      </c>
      <c r="L776" s="2071"/>
      <c r="M776" s="2190" t="s">
        <v>3146</v>
      </c>
      <c r="N776" s="2163" t="s">
        <v>3181</v>
      </c>
      <c r="O776" s="2191">
        <v>1.36</v>
      </c>
      <c r="P776" s="2191">
        <f>O776*H776</f>
        <v>12.988000000000001</v>
      </c>
      <c r="Q776" s="2191">
        <v>0</v>
      </c>
      <c r="R776" s="2191">
        <f>Q776*H776</f>
        <v>0</v>
      </c>
      <c r="S776" s="2191">
        <v>0</v>
      </c>
      <c r="T776" s="2192">
        <f>S776*H776</f>
        <v>0</v>
      </c>
      <c r="AR776" s="2193" t="s">
        <v>2894</v>
      </c>
      <c r="AT776" s="2193" t="s">
        <v>3286</v>
      </c>
      <c r="AU776" s="2193" t="s">
        <v>134</v>
      </c>
      <c r="AY776" s="2056" t="s">
        <v>3285</v>
      </c>
      <c r="BE776" s="2194">
        <f>IF(N776="základní",J776,0)</f>
        <v>0</v>
      </c>
      <c r="BF776" s="2194">
        <f>IF(N776="snížená",J776,0)</f>
        <v>0</v>
      </c>
      <c r="BG776" s="2194">
        <f>IF(N776="zákl. přenesená",J776,0)</f>
        <v>0</v>
      </c>
      <c r="BH776" s="2194">
        <f>IF(N776="sníž. přenesená",J776,0)</f>
        <v>0</v>
      </c>
      <c r="BI776" s="2194">
        <f>IF(N776="nulová",J776,0)</f>
        <v>0</v>
      </c>
      <c r="BJ776" s="2056" t="s">
        <v>134</v>
      </c>
      <c r="BK776" s="2194">
        <f>ROUND(I776*H776,2)</f>
        <v>0</v>
      </c>
      <c r="BL776" s="2056" t="s">
        <v>2894</v>
      </c>
      <c r="BM776" s="2193" t="s">
        <v>4006</v>
      </c>
    </row>
    <row r="777" spans="2:65" s="2178" customFormat="1" ht="22.9" customHeight="1">
      <c r="B777" s="2179"/>
      <c r="D777" s="2180" t="s">
        <v>3212</v>
      </c>
      <c r="E777" s="2188" t="s">
        <v>3931</v>
      </c>
      <c r="F777" s="2188" t="s">
        <v>3932</v>
      </c>
      <c r="J777" s="2189">
        <f>BK777</f>
        <v>0</v>
      </c>
      <c r="L777" s="2179"/>
      <c r="M777" s="2183"/>
      <c r="P777" s="2184">
        <f>SUM(P778:P893)</f>
        <v>2181.3096550000005</v>
      </c>
      <c r="R777" s="2184">
        <f>SUM(R778:R893)</f>
        <v>200.35225522000005</v>
      </c>
      <c r="T777" s="2185">
        <f>SUM(T778:T893)</f>
        <v>0</v>
      </c>
      <c r="AR777" s="2180" t="s">
        <v>134</v>
      </c>
      <c r="AT777" s="2186" t="s">
        <v>3212</v>
      </c>
      <c r="AU777" s="2186" t="s">
        <v>133</v>
      </c>
      <c r="AY777" s="2180" t="s">
        <v>3285</v>
      </c>
      <c r="BK777" s="2187">
        <f>SUM(BK778:BK893)</f>
        <v>0</v>
      </c>
    </row>
    <row r="778" spans="2:65" s="2070" customFormat="1" ht="24.2" customHeight="1">
      <c r="B778" s="2164"/>
      <c r="C778" s="4608" t="s">
        <v>4003</v>
      </c>
      <c r="D778" s="4608" t="s">
        <v>3286</v>
      </c>
      <c r="E778" s="4609" t="s">
        <v>10817</v>
      </c>
      <c r="F778" s="4610" t="s">
        <v>10818</v>
      </c>
      <c r="G778" s="4611" t="s">
        <v>611</v>
      </c>
      <c r="H778" s="4612">
        <v>1330.71</v>
      </c>
      <c r="I778" s="4613"/>
      <c r="J778" s="4613">
        <f>ROUND(I778*H778,2)</f>
        <v>0</v>
      </c>
      <c r="K778" s="4610" t="s">
        <v>142</v>
      </c>
      <c r="L778" s="2071"/>
      <c r="M778" s="2190" t="s">
        <v>3146</v>
      </c>
      <c r="N778" s="2163" t="s">
        <v>3181</v>
      </c>
      <c r="O778" s="2191">
        <v>2.9000000000000001E-2</v>
      </c>
      <c r="P778" s="2191">
        <f>O778*H778</f>
        <v>38.590590000000006</v>
      </c>
      <c r="Q778" s="2191">
        <v>0</v>
      </c>
      <c r="R778" s="2191">
        <f>Q778*H778</f>
        <v>0</v>
      </c>
      <c r="S778" s="2191">
        <v>0</v>
      </c>
      <c r="T778" s="2192">
        <f>S778*H778</f>
        <v>0</v>
      </c>
      <c r="AR778" s="2193" t="s">
        <v>856</v>
      </c>
      <c r="AT778" s="2193" t="s">
        <v>3286</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856</v>
      </c>
      <c r="BM778" s="2193" t="s">
        <v>10819</v>
      </c>
    </row>
    <row r="779" spans="2:65" s="2195" customFormat="1">
      <c r="B779" s="2196"/>
      <c r="D779" s="2197" t="s">
        <v>3303</v>
      </c>
      <c r="E779" s="2198" t="s">
        <v>3146</v>
      </c>
      <c r="F779" s="2199" t="s">
        <v>10820</v>
      </c>
      <c r="H779" s="2198" t="s">
        <v>3146</v>
      </c>
      <c r="L779" s="2196"/>
      <c r="M779" s="2200"/>
      <c r="T779" s="2201"/>
      <c r="AT779" s="2198" t="s">
        <v>3303</v>
      </c>
      <c r="AU779" s="2198" t="s">
        <v>134</v>
      </c>
      <c r="AV779" s="2195" t="s">
        <v>133</v>
      </c>
      <c r="AW779" s="2195" t="s">
        <v>3171</v>
      </c>
      <c r="AX779" s="2195" t="s">
        <v>3213</v>
      </c>
      <c r="AY779" s="2198" t="s">
        <v>3285</v>
      </c>
    </row>
    <row r="780" spans="2:65" s="2209" customFormat="1">
      <c r="B780" s="2210"/>
      <c r="D780" s="2197" t="s">
        <v>3303</v>
      </c>
      <c r="E780" s="2211" t="s">
        <v>3146</v>
      </c>
      <c r="F780" s="2212" t="s">
        <v>10821</v>
      </c>
      <c r="H780" s="2213">
        <v>890</v>
      </c>
      <c r="L780" s="2210"/>
      <c r="M780" s="2214"/>
      <c r="T780" s="2215"/>
      <c r="AT780" s="2211" t="s">
        <v>3303</v>
      </c>
      <c r="AU780" s="2211" t="s">
        <v>134</v>
      </c>
      <c r="AV780" s="2209" t="s">
        <v>134</v>
      </c>
      <c r="AW780" s="2209" t="s">
        <v>3171</v>
      </c>
      <c r="AX780" s="2209" t="s">
        <v>3213</v>
      </c>
      <c r="AY780" s="2211" t="s">
        <v>3285</v>
      </c>
    </row>
    <row r="781" spans="2:65" s="2209" customFormat="1">
      <c r="B781" s="2210"/>
      <c r="D781" s="2197" t="s">
        <v>3303</v>
      </c>
      <c r="E781" s="2211" t="s">
        <v>3146</v>
      </c>
      <c r="F781" s="2212" t="s">
        <v>5226</v>
      </c>
      <c r="H781" s="2213">
        <v>245</v>
      </c>
      <c r="L781" s="2210"/>
      <c r="M781" s="2214"/>
      <c r="T781" s="2215"/>
      <c r="AT781" s="2211" t="s">
        <v>3303</v>
      </c>
      <c r="AU781" s="2211" t="s">
        <v>134</v>
      </c>
      <c r="AV781" s="2209" t="s">
        <v>134</v>
      </c>
      <c r="AW781" s="2209" t="s">
        <v>3171</v>
      </c>
      <c r="AX781" s="2209" t="s">
        <v>3213</v>
      </c>
      <c r="AY781" s="2211" t="s">
        <v>3285</v>
      </c>
    </row>
    <row r="782" spans="2:65" s="2195" customFormat="1">
      <c r="B782" s="2196"/>
      <c r="D782" s="2197" t="s">
        <v>3303</v>
      </c>
      <c r="E782" s="2198" t="s">
        <v>3146</v>
      </c>
      <c r="F782" s="2199" t="s">
        <v>10822</v>
      </c>
      <c r="H782" s="2198" t="s">
        <v>3146</v>
      </c>
      <c r="L782" s="2196"/>
      <c r="M782" s="2200"/>
      <c r="T782" s="2201"/>
      <c r="AT782" s="2198" t="s">
        <v>3303</v>
      </c>
      <c r="AU782" s="2198" t="s">
        <v>134</v>
      </c>
      <c r="AV782" s="2195" t="s">
        <v>133</v>
      </c>
      <c r="AW782" s="2195" t="s">
        <v>3171</v>
      </c>
      <c r="AX782" s="2195" t="s">
        <v>3213</v>
      </c>
      <c r="AY782" s="2198" t="s">
        <v>3285</v>
      </c>
    </row>
    <row r="783" spans="2:65" s="2209" customFormat="1">
      <c r="B783" s="2210"/>
      <c r="D783" s="2197" t="s">
        <v>3303</v>
      </c>
      <c r="E783" s="2211" t="s">
        <v>3146</v>
      </c>
      <c r="F783" s="2212" t="s">
        <v>685</v>
      </c>
      <c r="H783" s="2213">
        <v>38</v>
      </c>
      <c r="L783" s="2210"/>
      <c r="M783" s="2214"/>
      <c r="T783" s="2215"/>
      <c r="AT783" s="2211" t="s">
        <v>3303</v>
      </c>
      <c r="AU783" s="2211" t="s">
        <v>134</v>
      </c>
      <c r="AV783" s="2209" t="s">
        <v>134</v>
      </c>
      <c r="AW783" s="2209" t="s">
        <v>3171</v>
      </c>
      <c r="AX783" s="2209" t="s">
        <v>3213</v>
      </c>
      <c r="AY783" s="2211" t="s">
        <v>3285</v>
      </c>
    </row>
    <row r="784" spans="2:65" s="2195" customFormat="1">
      <c r="B784" s="2196"/>
      <c r="D784" s="2197" t="s">
        <v>3303</v>
      </c>
      <c r="E784" s="2198" t="s">
        <v>3146</v>
      </c>
      <c r="F784" s="2199" t="s">
        <v>10823</v>
      </c>
      <c r="H784" s="2198" t="s">
        <v>3146</v>
      </c>
      <c r="L784" s="2196"/>
      <c r="M784" s="2200"/>
      <c r="T784" s="2201"/>
      <c r="AT784" s="2198" t="s">
        <v>3303</v>
      </c>
      <c r="AU784" s="2198" t="s">
        <v>134</v>
      </c>
      <c r="AV784" s="2195" t="s">
        <v>133</v>
      </c>
      <c r="AW784" s="2195" t="s">
        <v>3171</v>
      </c>
      <c r="AX784" s="2195" t="s">
        <v>3213</v>
      </c>
      <c r="AY784" s="2198" t="s">
        <v>3285</v>
      </c>
    </row>
    <row r="785" spans="2:65" s="2209" customFormat="1">
      <c r="B785" s="2210"/>
      <c r="D785" s="2197" t="s">
        <v>3303</v>
      </c>
      <c r="E785" s="2211" t="s">
        <v>3146</v>
      </c>
      <c r="F785" s="2212" t="s">
        <v>10824</v>
      </c>
      <c r="H785" s="2213">
        <v>116.1</v>
      </c>
      <c r="L785" s="2210"/>
      <c r="M785" s="2214"/>
      <c r="T785" s="2215"/>
      <c r="AT785" s="2211" t="s">
        <v>3303</v>
      </c>
      <c r="AU785" s="2211" t="s">
        <v>134</v>
      </c>
      <c r="AV785" s="2209" t="s">
        <v>134</v>
      </c>
      <c r="AW785" s="2209" t="s">
        <v>3171</v>
      </c>
      <c r="AX785" s="2209" t="s">
        <v>3213</v>
      </c>
      <c r="AY785" s="2211" t="s">
        <v>3285</v>
      </c>
    </row>
    <row r="786" spans="2:65" s="2209" customFormat="1">
      <c r="B786" s="2210"/>
      <c r="D786" s="2197" t="s">
        <v>3303</v>
      </c>
      <c r="E786" s="2211" t="s">
        <v>3146</v>
      </c>
      <c r="F786" s="2212" t="s">
        <v>2272</v>
      </c>
      <c r="H786" s="2213">
        <v>20</v>
      </c>
      <c r="L786" s="2210"/>
      <c r="M786" s="2214"/>
      <c r="T786" s="2215"/>
      <c r="AT786" s="2211" t="s">
        <v>3303</v>
      </c>
      <c r="AU786" s="2211" t="s">
        <v>134</v>
      </c>
      <c r="AV786" s="2209" t="s">
        <v>134</v>
      </c>
      <c r="AW786" s="2209" t="s">
        <v>3171</v>
      </c>
      <c r="AX786" s="2209" t="s">
        <v>3213</v>
      </c>
      <c r="AY786" s="2211" t="s">
        <v>3285</v>
      </c>
    </row>
    <row r="787" spans="2:65" s="2195" customFormat="1">
      <c r="B787" s="2196"/>
      <c r="D787" s="2197" t="s">
        <v>3303</v>
      </c>
      <c r="E787" s="2198" t="s">
        <v>3146</v>
      </c>
      <c r="F787" s="2199" t="s">
        <v>10825</v>
      </c>
      <c r="H787" s="2198" t="s">
        <v>3146</v>
      </c>
      <c r="L787" s="2196"/>
      <c r="M787" s="2200"/>
      <c r="T787" s="2201"/>
      <c r="AT787" s="2198" t="s">
        <v>3303</v>
      </c>
      <c r="AU787" s="2198" t="s">
        <v>134</v>
      </c>
      <c r="AV787" s="2195" t="s">
        <v>133</v>
      </c>
      <c r="AW787" s="2195" t="s">
        <v>3171</v>
      </c>
      <c r="AX787" s="2195" t="s">
        <v>3213</v>
      </c>
      <c r="AY787" s="2198" t="s">
        <v>3285</v>
      </c>
    </row>
    <row r="788" spans="2:65" s="2209" customFormat="1">
      <c r="B788" s="2210"/>
      <c r="D788" s="2197" t="s">
        <v>3303</v>
      </c>
      <c r="E788" s="2211" t="s">
        <v>3146</v>
      </c>
      <c r="F788" s="2212" t="s">
        <v>10826</v>
      </c>
      <c r="H788" s="2213">
        <v>21.61</v>
      </c>
      <c r="L788" s="2210"/>
      <c r="M788" s="2214"/>
      <c r="T788" s="2215"/>
      <c r="AT788" s="2211" t="s">
        <v>3303</v>
      </c>
      <c r="AU788" s="2211" t="s">
        <v>134</v>
      </c>
      <c r="AV788" s="2209" t="s">
        <v>134</v>
      </c>
      <c r="AW788" s="2209" t="s">
        <v>3171</v>
      </c>
      <c r="AX788" s="2209" t="s">
        <v>3213</v>
      </c>
      <c r="AY788" s="2211" t="s">
        <v>3285</v>
      </c>
    </row>
    <row r="789" spans="2:65" s="2216" customFormat="1">
      <c r="B789" s="2217"/>
      <c r="D789" s="2197" t="s">
        <v>3303</v>
      </c>
      <c r="E789" s="2218" t="s">
        <v>3146</v>
      </c>
      <c r="F789" s="2219" t="s">
        <v>3306</v>
      </c>
      <c r="H789" s="2220">
        <v>1330.71</v>
      </c>
      <c r="L789" s="2217"/>
      <c r="M789" s="2221"/>
      <c r="T789" s="2222"/>
      <c r="AT789" s="2218" t="s">
        <v>3303</v>
      </c>
      <c r="AU789" s="2218" t="s">
        <v>134</v>
      </c>
      <c r="AV789" s="2216" t="s">
        <v>856</v>
      </c>
      <c r="AW789" s="2216" t="s">
        <v>3171</v>
      </c>
      <c r="AX789" s="2216" t="s">
        <v>133</v>
      </c>
      <c r="AY789" s="2218" t="s">
        <v>3285</v>
      </c>
    </row>
    <row r="790" spans="2:65" s="2070" customFormat="1" ht="16.5" customHeight="1">
      <c r="B790" s="2164"/>
      <c r="C790" s="4614" t="s">
        <v>4009</v>
      </c>
      <c r="D790" s="4614" t="s">
        <v>135</v>
      </c>
      <c r="E790" s="4615" t="s">
        <v>4687</v>
      </c>
      <c r="F790" s="4616" t="s">
        <v>4688</v>
      </c>
      <c r="G790" s="4617" t="s">
        <v>302</v>
      </c>
      <c r="H790" s="4618">
        <v>0.42599999999999999</v>
      </c>
      <c r="I790" s="4619"/>
      <c r="J790" s="4619">
        <f>ROUND(I790*H790,2)</f>
        <v>0</v>
      </c>
      <c r="K790" s="4616" t="s">
        <v>142</v>
      </c>
      <c r="L790" s="2223"/>
      <c r="M790" s="2224" t="s">
        <v>3146</v>
      </c>
      <c r="N790" s="2225" t="s">
        <v>3181</v>
      </c>
      <c r="O790" s="2191">
        <v>0</v>
      </c>
      <c r="P790" s="2191">
        <f>O790*H790</f>
        <v>0</v>
      </c>
      <c r="Q790" s="2191">
        <v>1</v>
      </c>
      <c r="R790" s="2191">
        <f>Q790*H790</f>
        <v>0.42599999999999999</v>
      </c>
      <c r="S790" s="2191">
        <v>0</v>
      </c>
      <c r="T790" s="2192">
        <f>S790*H790</f>
        <v>0</v>
      </c>
      <c r="AR790" s="2193" t="s">
        <v>1363</v>
      </c>
      <c r="AT790" s="2193" t="s">
        <v>135</v>
      </c>
      <c r="AU790" s="2193" t="s">
        <v>134</v>
      </c>
      <c r="AY790" s="2056" t="s">
        <v>3285</v>
      </c>
      <c r="BE790" s="2194">
        <f>IF(N790="základní",J790,0)</f>
        <v>0</v>
      </c>
      <c r="BF790" s="2194">
        <f>IF(N790="snížená",J790,0)</f>
        <v>0</v>
      </c>
      <c r="BG790" s="2194">
        <f>IF(N790="zákl. přenesená",J790,0)</f>
        <v>0</v>
      </c>
      <c r="BH790" s="2194">
        <f>IF(N790="sníž. přenesená",J790,0)</f>
        <v>0</v>
      </c>
      <c r="BI790" s="2194">
        <f>IF(N790="nulová",J790,0)</f>
        <v>0</v>
      </c>
      <c r="BJ790" s="2056" t="s">
        <v>134</v>
      </c>
      <c r="BK790" s="2194">
        <f>ROUND(I790*H790,2)</f>
        <v>0</v>
      </c>
      <c r="BL790" s="2056" t="s">
        <v>856</v>
      </c>
      <c r="BM790" s="2193" t="s">
        <v>10827</v>
      </c>
    </row>
    <row r="791" spans="2:65" s="2209" customFormat="1">
      <c r="B791" s="2210"/>
      <c r="D791" s="2197" t="s">
        <v>3303</v>
      </c>
      <c r="F791" s="2212" t="s">
        <v>10828</v>
      </c>
      <c r="H791" s="2213">
        <v>0.42599999999999999</v>
      </c>
      <c r="L791" s="2210"/>
      <c r="M791" s="2214"/>
      <c r="T791" s="2215"/>
      <c r="AT791" s="2211" t="s">
        <v>3303</v>
      </c>
      <c r="AU791" s="2211" t="s">
        <v>134</v>
      </c>
      <c r="AV791" s="2209" t="s">
        <v>134</v>
      </c>
      <c r="AW791" s="2209" t="s">
        <v>3148</v>
      </c>
      <c r="AX791" s="2209" t="s">
        <v>133</v>
      </c>
      <c r="AY791" s="2211" t="s">
        <v>3285</v>
      </c>
    </row>
    <row r="792" spans="2:65" s="2070" customFormat="1" ht="24.2" customHeight="1">
      <c r="B792" s="2164"/>
      <c r="C792" s="4608" t="s">
        <v>4019</v>
      </c>
      <c r="D792" s="4608" t="s">
        <v>3286</v>
      </c>
      <c r="E792" s="4609" t="s">
        <v>4691</v>
      </c>
      <c r="F792" s="4610" t="s">
        <v>4692</v>
      </c>
      <c r="G792" s="4611" t="s">
        <v>611</v>
      </c>
      <c r="H792" s="4612">
        <v>2661.42</v>
      </c>
      <c r="I792" s="4613"/>
      <c r="J792" s="4613">
        <f>ROUND(I792*H792,2)</f>
        <v>0</v>
      </c>
      <c r="K792" s="4610" t="s">
        <v>142</v>
      </c>
      <c r="L792" s="2071"/>
      <c r="M792" s="2190" t="s">
        <v>3146</v>
      </c>
      <c r="N792" s="2163" t="s">
        <v>3181</v>
      </c>
      <c r="O792" s="2191">
        <v>0.115</v>
      </c>
      <c r="P792" s="2191">
        <f>O792*H792</f>
        <v>306.06330000000003</v>
      </c>
      <c r="Q792" s="2191">
        <v>0</v>
      </c>
      <c r="R792" s="2191">
        <f>Q792*H792</f>
        <v>0</v>
      </c>
      <c r="S792" s="2191">
        <v>0</v>
      </c>
      <c r="T792" s="2192">
        <f>S792*H792</f>
        <v>0</v>
      </c>
      <c r="AR792" s="2193" t="s">
        <v>2894</v>
      </c>
      <c r="AT792" s="2193" t="s">
        <v>3286</v>
      </c>
      <c r="AU792" s="2193" t="s">
        <v>134</v>
      </c>
      <c r="AY792" s="2056" t="s">
        <v>3285</v>
      </c>
      <c r="BE792" s="2194">
        <f>IF(N792="základní",J792,0)</f>
        <v>0</v>
      </c>
      <c r="BF792" s="2194">
        <f>IF(N792="snížená",J792,0)</f>
        <v>0</v>
      </c>
      <c r="BG792" s="2194">
        <f>IF(N792="zákl. přenesená",J792,0)</f>
        <v>0</v>
      </c>
      <c r="BH792" s="2194">
        <f>IF(N792="sníž. přenesená",J792,0)</f>
        <v>0</v>
      </c>
      <c r="BI792" s="2194">
        <f>IF(N792="nulová",J792,0)</f>
        <v>0</v>
      </c>
      <c r="BJ792" s="2056" t="s">
        <v>134</v>
      </c>
      <c r="BK792" s="2194">
        <f>ROUND(I792*H792,2)</f>
        <v>0</v>
      </c>
      <c r="BL792" s="2056" t="s">
        <v>2894</v>
      </c>
      <c r="BM792" s="2193" t="s">
        <v>10829</v>
      </c>
    </row>
    <row r="793" spans="2:65" s="2195" customFormat="1">
      <c r="B793" s="2196"/>
      <c r="D793" s="2197" t="s">
        <v>3303</v>
      </c>
      <c r="E793" s="2198" t="s">
        <v>3146</v>
      </c>
      <c r="F793" s="2199" t="s">
        <v>10820</v>
      </c>
      <c r="H793" s="2198" t="s">
        <v>3146</v>
      </c>
      <c r="L793" s="2196"/>
      <c r="M793" s="2200"/>
      <c r="T793" s="2201"/>
      <c r="AT793" s="2198" t="s">
        <v>3303</v>
      </c>
      <c r="AU793" s="2198" t="s">
        <v>134</v>
      </c>
      <c r="AV793" s="2195" t="s">
        <v>133</v>
      </c>
      <c r="AW793" s="2195" t="s">
        <v>3171</v>
      </c>
      <c r="AX793" s="2195" t="s">
        <v>3213</v>
      </c>
      <c r="AY793" s="2198" t="s">
        <v>3285</v>
      </c>
    </row>
    <row r="794" spans="2:65" s="2209" customFormat="1">
      <c r="B794" s="2210"/>
      <c r="D794" s="2197" t="s">
        <v>3303</v>
      </c>
      <c r="E794" s="2211" t="s">
        <v>3146</v>
      </c>
      <c r="F794" s="2212" t="s">
        <v>10821</v>
      </c>
      <c r="H794" s="2213">
        <v>890</v>
      </c>
      <c r="L794" s="2210"/>
      <c r="M794" s="2214"/>
      <c r="T794" s="2215"/>
      <c r="AT794" s="2211" t="s">
        <v>3303</v>
      </c>
      <c r="AU794" s="2211" t="s">
        <v>134</v>
      </c>
      <c r="AV794" s="2209" t="s">
        <v>134</v>
      </c>
      <c r="AW794" s="2209" t="s">
        <v>3171</v>
      </c>
      <c r="AX794" s="2209" t="s">
        <v>3213</v>
      </c>
      <c r="AY794" s="2211" t="s">
        <v>3285</v>
      </c>
    </row>
    <row r="795" spans="2:65" s="2209" customFormat="1">
      <c r="B795" s="2210"/>
      <c r="D795" s="2197" t="s">
        <v>3303</v>
      </c>
      <c r="E795" s="2211" t="s">
        <v>3146</v>
      </c>
      <c r="F795" s="2212" t="s">
        <v>5226</v>
      </c>
      <c r="H795" s="2213">
        <v>245</v>
      </c>
      <c r="L795" s="2210"/>
      <c r="M795" s="2214"/>
      <c r="T795" s="2215"/>
      <c r="AT795" s="2211" t="s">
        <v>3303</v>
      </c>
      <c r="AU795" s="2211" t="s">
        <v>134</v>
      </c>
      <c r="AV795" s="2209" t="s">
        <v>134</v>
      </c>
      <c r="AW795" s="2209" t="s">
        <v>3171</v>
      </c>
      <c r="AX795" s="2209" t="s">
        <v>3213</v>
      </c>
      <c r="AY795" s="2211" t="s">
        <v>3285</v>
      </c>
    </row>
    <row r="796" spans="2:65" s="2195" customFormat="1">
      <c r="B796" s="2196"/>
      <c r="D796" s="2197" t="s">
        <v>3303</v>
      </c>
      <c r="E796" s="2198" t="s">
        <v>3146</v>
      </c>
      <c r="F796" s="2199" t="s">
        <v>10822</v>
      </c>
      <c r="H796" s="2198" t="s">
        <v>3146</v>
      </c>
      <c r="L796" s="2196"/>
      <c r="M796" s="2200"/>
      <c r="T796" s="2201"/>
      <c r="AT796" s="2198" t="s">
        <v>3303</v>
      </c>
      <c r="AU796" s="2198" t="s">
        <v>134</v>
      </c>
      <c r="AV796" s="2195" t="s">
        <v>133</v>
      </c>
      <c r="AW796" s="2195" t="s">
        <v>3171</v>
      </c>
      <c r="AX796" s="2195" t="s">
        <v>3213</v>
      </c>
      <c r="AY796" s="2198" t="s">
        <v>3285</v>
      </c>
    </row>
    <row r="797" spans="2:65" s="2209" customFormat="1">
      <c r="B797" s="2210"/>
      <c r="D797" s="2197" t="s">
        <v>3303</v>
      </c>
      <c r="E797" s="2211" t="s">
        <v>3146</v>
      </c>
      <c r="F797" s="2212" t="s">
        <v>685</v>
      </c>
      <c r="H797" s="2213">
        <v>38</v>
      </c>
      <c r="L797" s="2210"/>
      <c r="M797" s="2214"/>
      <c r="T797" s="2215"/>
      <c r="AT797" s="2211" t="s">
        <v>3303</v>
      </c>
      <c r="AU797" s="2211" t="s">
        <v>134</v>
      </c>
      <c r="AV797" s="2209" t="s">
        <v>134</v>
      </c>
      <c r="AW797" s="2209" t="s">
        <v>3171</v>
      </c>
      <c r="AX797" s="2209" t="s">
        <v>3213</v>
      </c>
      <c r="AY797" s="2211" t="s">
        <v>3285</v>
      </c>
    </row>
    <row r="798" spans="2:65" s="2195" customFormat="1">
      <c r="B798" s="2196"/>
      <c r="D798" s="2197" t="s">
        <v>3303</v>
      </c>
      <c r="E798" s="2198" t="s">
        <v>3146</v>
      </c>
      <c r="F798" s="2199" t="s">
        <v>10823</v>
      </c>
      <c r="H798" s="2198" t="s">
        <v>3146</v>
      </c>
      <c r="L798" s="2196"/>
      <c r="M798" s="2200"/>
      <c r="T798" s="2201"/>
      <c r="AT798" s="2198" t="s">
        <v>3303</v>
      </c>
      <c r="AU798" s="2198" t="s">
        <v>134</v>
      </c>
      <c r="AV798" s="2195" t="s">
        <v>133</v>
      </c>
      <c r="AW798" s="2195" t="s">
        <v>3171</v>
      </c>
      <c r="AX798" s="2195" t="s">
        <v>3213</v>
      </c>
      <c r="AY798" s="2198" t="s">
        <v>3285</v>
      </c>
    </row>
    <row r="799" spans="2:65" s="2209" customFormat="1">
      <c r="B799" s="2210"/>
      <c r="D799" s="2197" t="s">
        <v>3303</v>
      </c>
      <c r="E799" s="2211" t="s">
        <v>3146</v>
      </c>
      <c r="F799" s="2212" t="s">
        <v>10824</v>
      </c>
      <c r="H799" s="2213">
        <v>116.1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2272</v>
      </c>
      <c r="H800" s="2213">
        <v>20</v>
      </c>
      <c r="L800" s="2210"/>
      <c r="M800" s="2214"/>
      <c r="T800" s="2215"/>
      <c r="AT800" s="2211" t="s">
        <v>3303</v>
      </c>
      <c r="AU800" s="2211" t="s">
        <v>134</v>
      </c>
      <c r="AV800" s="2209" t="s">
        <v>134</v>
      </c>
      <c r="AW800" s="2209" t="s">
        <v>3171</v>
      </c>
      <c r="AX800" s="2209" t="s">
        <v>3213</v>
      </c>
      <c r="AY800" s="2211" t="s">
        <v>3285</v>
      </c>
    </row>
    <row r="801" spans="2:65" s="2195" customFormat="1">
      <c r="B801" s="2196"/>
      <c r="D801" s="2197" t="s">
        <v>3303</v>
      </c>
      <c r="E801" s="2198" t="s">
        <v>3146</v>
      </c>
      <c r="F801" s="2199" t="s">
        <v>10825</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10826</v>
      </c>
      <c r="H802" s="2213">
        <v>21.61</v>
      </c>
      <c r="L802" s="2210"/>
      <c r="M802" s="2214"/>
      <c r="T802" s="2215"/>
      <c r="AT802" s="2211" t="s">
        <v>3303</v>
      </c>
      <c r="AU802" s="2211" t="s">
        <v>134</v>
      </c>
      <c r="AV802" s="2209" t="s">
        <v>134</v>
      </c>
      <c r="AW802" s="2209" t="s">
        <v>3171</v>
      </c>
      <c r="AX802" s="2209" t="s">
        <v>3213</v>
      </c>
      <c r="AY802" s="2211" t="s">
        <v>3285</v>
      </c>
    </row>
    <row r="803" spans="2:65" s="2216" customFormat="1">
      <c r="B803" s="2217"/>
      <c r="D803" s="2197" t="s">
        <v>3303</v>
      </c>
      <c r="E803" s="2218" t="s">
        <v>3146</v>
      </c>
      <c r="F803" s="2219" t="s">
        <v>3306</v>
      </c>
      <c r="H803" s="2220">
        <v>1330.71</v>
      </c>
      <c r="L803" s="2217"/>
      <c r="M803" s="2221"/>
      <c r="T803" s="2222"/>
      <c r="AT803" s="2218" t="s">
        <v>3303</v>
      </c>
      <c r="AU803" s="2218" t="s">
        <v>134</v>
      </c>
      <c r="AV803" s="2216" t="s">
        <v>856</v>
      </c>
      <c r="AW803" s="2216" t="s">
        <v>3171</v>
      </c>
      <c r="AX803" s="2216" t="s">
        <v>133</v>
      </c>
      <c r="AY803" s="2218" t="s">
        <v>3285</v>
      </c>
    </row>
    <row r="804" spans="2:65" s="2209" customFormat="1">
      <c r="B804" s="2210"/>
      <c r="D804" s="2197" t="s">
        <v>3303</v>
      </c>
      <c r="F804" s="2212" t="s">
        <v>10830</v>
      </c>
      <c r="H804" s="2213">
        <v>2661.42</v>
      </c>
      <c r="L804" s="2210"/>
      <c r="M804" s="2214"/>
      <c r="T804" s="2215"/>
      <c r="AT804" s="2211" t="s">
        <v>3303</v>
      </c>
      <c r="AU804" s="2211" t="s">
        <v>134</v>
      </c>
      <c r="AV804" s="2209" t="s">
        <v>134</v>
      </c>
      <c r="AW804" s="2209" t="s">
        <v>3148</v>
      </c>
      <c r="AX804" s="2209" t="s">
        <v>133</v>
      </c>
      <c r="AY804" s="2211" t="s">
        <v>3285</v>
      </c>
    </row>
    <row r="805" spans="2:65" s="2070" customFormat="1" ht="49.15" customHeight="1">
      <c r="B805" s="2164"/>
      <c r="C805" s="4614" t="s">
        <v>4024</v>
      </c>
      <c r="D805" s="4614" t="s">
        <v>135</v>
      </c>
      <c r="E805" s="4615" t="s">
        <v>10831</v>
      </c>
      <c r="F805" s="4616" t="s">
        <v>10832</v>
      </c>
      <c r="G805" s="4617" t="s">
        <v>611</v>
      </c>
      <c r="H805" s="4618">
        <v>1550.943</v>
      </c>
      <c r="I805" s="4619"/>
      <c r="J805" s="4619">
        <f>ROUND(I805*H805,2)</f>
        <v>0</v>
      </c>
      <c r="K805" s="4616" t="s">
        <v>142</v>
      </c>
      <c r="L805" s="2223"/>
      <c r="M805" s="2224" t="s">
        <v>3146</v>
      </c>
      <c r="N805" s="2225" t="s">
        <v>3181</v>
      </c>
      <c r="O805" s="2191">
        <v>0</v>
      </c>
      <c r="P805" s="2191">
        <f>O805*H805</f>
        <v>0</v>
      </c>
      <c r="Q805" s="2191">
        <v>4.7999999999999996E-3</v>
      </c>
      <c r="R805" s="2191">
        <f>Q805*H805</f>
        <v>7.4445263999999991</v>
      </c>
      <c r="S805" s="2191">
        <v>0</v>
      </c>
      <c r="T805" s="2192">
        <f>S805*H805</f>
        <v>0</v>
      </c>
      <c r="AR805" s="2193" t="s">
        <v>3389</v>
      </c>
      <c r="AT805" s="2193" t="s">
        <v>135</v>
      </c>
      <c r="AU805" s="2193" t="s">
        <v>134</v>
      </c>
      <c r="AY805" s="2056" t="s">
        <v>3285</v>
      </c>
      <c r="BE805" s="2194">
        <f>IF(N805="základní",J805,0)</f>
        <v>0</v>
      </c>
      <c r="BF805" s="2194">
        <f>IF(N805="snížená",J805,0)</f>
        <v>0</v>
      </c>
      <c r="BG805" s="2194">
        <f>IF(N805="zákl. přenesená",J805,0)</f>
        <v>0</v>
      </c>
      <c r="BH805" s="2194">
        <f>IF(N805="sníž. přenesená",J805,0)</f>
        <v>0</v>
      </c>
      <c r="BI805" s="2194">
        <f>IF(N805="nulová",J805,0)</f>
        <v>0</v>
      </c>
      <c r="BJ805" s="2056" t="s">
        <v>134</v>
      </c>
      <c r="BK805" s="2194">
        <f>ROUND(I805*H805,2)</f>
        <v>0</v>
      </c>
      <c r="BL805" s="2056" t="s">
        <v>2894</v>
      </c>
      <c r="BM805" s="2193" t="s">
        <v>10833</v>
      </c>
    </row>
    <row r="806" spans="2:65" s="2209" customFormat="1">
      <c r="B806" s="2210"/>
      <c r="D806" s="2197" t="s">
        <v>3303</v>
      </c>
      <c r="F806" s="2212" t="s">
        <v>10834</v>
      </c>
      <c r="H806" s="2213">
        <v>1550.943</v>
      </c>
      <c r="L806" s="2210"/>
      <c r="M806" s="2214"/>
      <c r="T806" s="2215"/>
      <c r="AT806" s="2211" t="s">
        <v>3303</v>
      </c>
      <c r="AU806" s="2211" t="s">
        <v>134</v>
      </c>
      <c r="AV806" s="2209" t="s">
        <v>134</v>
      </c>
      <c r="AW806" s="2209" t="s">
        <v>3148</v>
      </c>
      <c r="AX806" s="2209" t="s">
        <v>133</v>
      </c>
      <c r="AY806" s="2211" t="s">
        <v>3285</v>
      </c>
    </row>
    <row r="807" spans="2:65" s="2070" customFormat="1" ht="49.15" customHeight="1">
      <c r="B807" s="2164"/>
      <c r="C807" s="4614" t="s">
        <v>4029</v>
      </c>
      <c r="D807" s="4614" t="s">
        <v>135</v>
      </c>
      <c r="E807" s="4615" t="s">
        <v>4340</v>
      </c>
      <c r="F807" s="4616" t="s">
        <v>4341</v>
      </c>
      <c r="G807" s="4617" t="s">
        <v>611</v>
      </c>
      <c r="H807" s="4618">
        <v>1550.943</v>
      </c>
      <c r="I807" s="4619"/>
      <c r="J807" s="4619">
        <f>ROUND(I807*H807,2)</f>
        <v>0</v>
      </c>
      <c r="K807" s="4616" t="s">
        <v>142</v>
      </c>
      <c r="L807" s="2223"/>
      <c r="M807" s="2224" t="s">
        <v>3146</v>
      </c>
      <c r="N807" s="2225" t="s">
        <v>3181</v>
      </c>
      <c r="O807" s="2191">
        <v>0</v>
      </c>
      <c r="P807" s="2191">
        <f>O807*H807</f>
        <v>0</v>
      </c>
      <c r="Q807" s="2191">
        <v>4.0000000000000001E-3</v>
      </c>
      <c r="R807" s="2191">
        <f>Q807*H807</f>
        <v>6.2037719999999998</v>
      </c>
      <c r="S807" s="2191">
        <v>0</v>
      </c>
      <c r="T807" s="2192">
        <f>S807*H807</f>
        <v>0</v>
      </c>
      <c r="AR807" s="2193" t="s">
        <v>3389</v>
      </c>
      <c r="AT807" s="2193" t="s">
        <v>135</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10835</v>
      </c>
    </row>
    <row r="808" spans="2:65" s="2195" customFormat="1">
      <c r="B808" s="2196"/>
      <c r="D808" s="2197" t="s">
        <v>3303</v>
      </c>
      <c r="E808" s="2198" t="s">
        <v>3146</v>
      </c>
      <c r="F808" s="2199" t="s">
        <v>10820</v>
      </c>
      <c r="H808" s="2198" t="s">
        <v>3146</v>
      </c>
      <c r="L808" s="2196"/>
      <c r="M808" s="2200"/>
      <c r="T808" s="2201"/>
      <c r="AT808" s="2198" t="s">
        <v>3303</v>
      </c>
      <c r="AU808" s="2198" t="s">
        <v>134</v>
      </c>
      <c r="AV808" s="2195" t="s">
        <v>133</v>
      </c>
      <c r="AW808" s="2195" t="s">
        <v>3171</v>
      </c>
      <c r="AX808" s="2195" t="s">
        <v>3213</v>
      </c>
      <c r="AY808" s="2198" t="s">
        <v>3285</v>
      </c>
    </row>
    <row r="809" spans="2:65" s="2209" customFormat="1">
      <c r="B809" s="2210"/>
      <c r="D809" s="2197" t="s">
        <v>3303</v>
      </c>
      <c r="E809" s="2211" t="s">
        <v>3146</v>
      </c>
      <c r="F809" s="2212" t="s">
        <v>10821</v>
      </c>
      <c r="H809" s="2213">
        <v>890</v>
      </c>
      <c r="L809" s="2210"/>
      <c r="M809" s="2214"/>
      <c r="T809" s="2215"/>
      <c r="AT809" s="2211" t="s">
        <v>3303</v>
      </c>
      <c r="AU809" s="2211" t="s">
        <v>134</v>
      </c>
      <c r="AV809" s="2209" t="s">
        <v>134</v>
      </c>
      <c r="AW809" s="2209" t="s">
        <v>3171</v>
      </c>
      <c r="AX809" s="2209" t="s">
        <v>3213</v>
      </c>
      <c r="AY809" s="2211" t="s">
        <v>3285</v>
      </c>
    </row>
    <row r="810" spans="2:65" s="2209" customFormat="1">
      <c r="B810" s="2210"/>
      <c r="D810" s="2197" t="s">
        <v>3303</v>
      </c>
      <c r="E810" s="2211" t="s">
        <v>3146</v>
      </c>
      <c r="F810" s="2212" t="s">
        <v>5226</v>
      </c>
      <c r="H810" s="2213">
        <v>245</v>
      </c>
      <c r="L810" s="2210"/>
      <c r="M810" s="2214"/>
      <c r="T810" s="2215"/>
      <c r="AT810" s="2211" t="s">
        <v>3303</v>
      </c>
      <c r="AU810" s="2211" t="s">
        <v>134</v>
      </c>
      <c r="AV810" s="2209" t="s">
        <v>134</v>
      </c>
      <c r="AW810" s="2209" t="s">
        <v>3171</v>
      </c>
      <c r="AX810" s="2209" t="s">
        <v>3213</v>
      </c>
      <c r="AY810" s="2211" t="s">
        <v>3285</v>
      </c>
    </row>
    <row r="811" spans="2:65" s="2195" customFormat="1">
      <c r="B811" s="2196"/>
      <c r="D811" s="2197" t="s">
        <v>3303</v>
      </c>
      <c r="E811" s="2198" t="s">
        <v>3146</v>
      </c>
      <c r="F811" s="2199" t="s">
        <v>10822</v>
      </c>
      <c r="H811" s="2198" t="s">
        <v>3146</v>
      </c>
      <c r="L811" s="2196"/>
      <c r="M811" s="2200"/>
      <c r="T811" s="2201"/>
      <c r="AT811" s="2198" t="s">
        <v>3303</v>
      </c>
      <c r="AU811" s="2198" t="s">
        <v>134</v>
      </c>
      <c r="AV811" s="2195" t="s">
        <v>133</v>
      </c>
      <c r="AW811" s="2195" t="s">
        <v>3171</v>
      </c>
      <c r="AX811" s="2195" t="s">
        <v>3213</v>
      </c>
      <c r="AY811" s="2198" t="s">
        <v>3285</v>
      </c>
    </row>
    <row r="812" spans="2:65" s="2209" customFormat="1">
      <c r="B812" s="2210"/>
      <c r="D812" s="2197" t="s">
        <v>3303</v>
      </c>
      <c r="E812" s="2211" t="s">
        <v>3146</v>
      </c>
      <c r="F812" s="2212" t="s">
        <v>685</v>
      </c>
      <c r="H812" s="2213">
        <v>38</v>
      </c>
      <c r="L812" s="2210"/>
      <c r="M812" s="2214"/>
      <c r="T812" s="2215"/>
      <c r="AT812" s="2211" t="s">
        <v>3303</v>
      </c>
      <c r="AU812" s="2211" t="s">
        <v>134</v>
      </c>
      <c r="AV812" s="2209" t="s">
        <v>134</v>
      </c>
      <c r="AW812" s="2209" t="s">
        <v>3171</v>
      </c>
      <c r="AX812" s="2209" t="s">
        <v>3213</v>
      </c>
      <c r="AY812" s="2211" t="s">
        <v>3285</v>
      </c>
    </row>
    <row r="813" spans="2:65" s="2195" customFormat="1">
      <c r="B813" s="2196"/>
      <c r="D813" s="2197" t="s">
        <v>3303</v>
      </c>
      <c r="E813" s="2198" t="s">
        <v>3146</v>
      </c>
      <c r="F813" s="2199" t="s">
        <v>10823</v>
      </c>
      <c r="H813" s="2198" t="s">
        <v>3146</v>
      </c>
      <c r="L813" s="2196"/>
      <c r="M813" s="2200"/>
      <c r="T813" s="2201"/>
      <c r="AT813" s="2198" t="s">
        <v>3303</v>
      </c>
      <c r="AU813" s="2198" t="s">
        <v>134</v>
      </c>
      <c r="AV813" s="2195" t="s">
        <v>133</v>
      </c>
      <c r="AW813" s="2195" t="s">
        <v>3171</v>
      </c>
      <c r="AX813" s="2195" t="s">
        <v>3213</v>
      </c>
      <c r="AY813" s="2198" t="s">
        <v>3285</v>
      </c>
    </row>
    <row r="814" spans="2:65" s="2209" customFormat="1">
      <c r="B814" s="2210"/>
      <c r="D814" s="2197" t="s">
        <v>3303</v>
      </c>
      <c r="E814" s="2211" t="s">
        <v>3146</v>
      </c>
      <c r="F814" s="2212" t="s">
        <v>10824</v>
      </c>
      <c r="H814" s="2213">
        <v>116.1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2272</v>
      </c>
      <c r="H815" s="2213">
        <v>20</v>
      </c>
      <c r="L815" s="2210"/>
      <c r="M815" s="2214"/>
      <c r="T815" s="2215"/>
      <c r="AT815" s="2211" t="s">
        <v>3303</v>
      </c>
      <c r="AU815" s="2211" t="s">
        <v>134</v>
      </c>
      <c r="AV815" s="2209" t="s">
        <v>134</v>
      </c>
      <c r="AW815" s="2209" t="s">
        <v>3171</v>
      </c>
      <c r="AX815" s="2209" t="s">
        <v>3213</v>
      </c>
      <c r="AY815" s="2211" t="s">
        <v>3285</v>
      </c>
    </row>
    <row r="816" spans="2:65" s="2195" customFormat="1">
      <c r="B816" s="2196"/>
      <c r="D816" s="2197" t="s">
        <v>3303</v>
      </c>
      <c r="E816" s="2198" t="s">
        <v>3146</v>
      </c>
      <c r="F816" s="2199" t="s">
        <v>10825</v>
      </c>
      <c r="H816" s="2198" t="s">
        <v>3146</v>
      </c>
      <c r="L816" s="2196"/>
      <c r="M816" s="2200"/>
      <c r="T816" s="2201"/>
      <c r="AT816" s="2198" t="s">
        <v>3303</v>
      </c>
      <c r="AU816" s="2198" t="s">
        <v>134</v>
      </c>
      <c r="AV816" s="2195" t="s">
        <v>133</v>
      </c>
      <c r="AW816" s="2195" t="s">
        <v>3171</v>
      </c>
      <c r="AX816" s="2195" t="s">
        <v>3213</v>
      </c>
      <c r="AY816" s="2198" t="s">
        <v>3285</v>
      </c>
    </row>
    <row r="817" spans="2:65" s="2209" customFormat="1">
      <c r="B817" s="2210"/>
      <c r="D817" s="2197" t="s">
        <v>3303</v>
      </c>
      <c r="E817" s="2211" t="s">
        <v>3146</v>
      </c>
      <c r="F817" s="2212" t="s">
        <v>10826</v>
      </c>
      <c r="H817" s="2213">
        <v>21.61</v>
      </c>
      <c r="L817" s="2210"/>
      <c r="M817" s="2214"/>
      <c r="T817" s="2215"/>
      <c r="AT817" s="2211" t="s">
        <v>3303</v>
      </c>
      <c r="AU817" s="2211" t="s">
        <v>134</v>
      </c>
      <c r="AV817" s="2209" t="s">
        <v>134</v>
      </c>
      <c r="AW817" s="2209" t="s">
        <v>3171</v>
      </c>
      <c r="AX817" s="2209" t="s">
        <v>3213</v>
      </c>
      <c r="AY817" s="2211" t="s">
        <v>3285</v>
      </c>
    </row>
    <row r="818" spans="2:65" s="2216" customFormat="1">
      <c r="B818" s="2217"/>
      <c r="D818" s="2197" t="s">
        <v>3303</v>
      </c>
      <c r="E818" s="2218" t="s">
        <v>3146</v>
      </c>
      <c r="F818" s="2219" t="s">
        <v>3306</v>
      </c>
      <c r="H818" s="2220">
        <v>1330.71</v>
      </c>
      <c r="L818" s="2217"/>
      <c r="M818" s="2221"/>
      <c r="T818" s="2222"/>
      <c r="AT818" s="2218" t="s">
        <v>3303</v>
      </c>
      <c r="AU818" s="2218" t="s">
        <v>134</v>
      </c>
      <c r="AV818" s="2216" t="s">
        <v>856</v>
      </c>
      <c r="AW818" s="2216" t="s">
        <v>3171</v>
      </c>
      <c r="AX818" s="2216" t="s">
        <v>133</v>
      </c>
      <c r="AY818" s="2218" t="s">
        <v>3285</v>
      </c>
    </row>
    <row r="819" spans="2:65" s="2209" customFormat="1">
      <c r="B819" s="2210"/>
      <c r="D819" s="2197" t="s">
        <v>3303</v>
      </c>
      <c r="F819" s="2212" t="s">
        <v>10834</v>
      </c>
      <c r="H819" s="2213">
        <v>1550.943</v>
      </c>
      <c r="L819" s="2210"/>
      <c r="M819" s="2214"/>
      <c r="T819" s="2215"/>
      <c r="AT819" s="2211" t="s">
        <v>3303</v>
      </c>
      <c r="AU819" s="2211" t="s">
        <v>134</v>
      </c>
      <c r="AV819" s="2209" t="s">
        <v>134</v>
      </c>
      <c r="AW819" s="2209" t="s">
        <v>3148</v>
      </c>
      <c r="AX819" s="2209" t="s">
        <v>133</v>
      </c>
      <c r="AY819" s="2211" t="s">
        <v>3285</v>
      </c>
    </row>
    <row r="820" spans="2:65" s="2070" customFormat="1" ht="24.2" customHeight="1">
      <c r="B820" s="2164"/>
      <c r="C820" s="5561" t="s">
        <v>11702</v>
      </c>
      <c r="D820" s="5561" t="s">
        <v>3286</v>
      </c>
      <c r="E820" s="5567" t="s">
        <v>11703</v>
      </c>
      <c r="F820" s="5566" t="s">
        <v>11704</v>
      </c>
      <c r="G820" s="5570" t="s">
        <v>611</v>
      </c>
      <c r="H820" s="5568">
        <f>H831</f>
        <v>1330.7099999999998</v>
      </c>
      <c r="I820" s="5571"/>
      <c r="J820" s="5571">
        <f>ROUND(I820*H820,2)</f>
        <v>0</v>
      </c>
      <c r="K820" s="5566" t="s">
        <v>142</v>
      </c>
      <c r="L820" s="2071"/>
      <c r="M820" s="2190" t="s">
        <v>3146</v>
      </c>
      <c r="N820" s="2163" t="s">
        <v>3181</v>
      </c>
      <c r="O820" s="2191">
        <v>0.115</v>
      </c>
      <c r="P820" s="2191">
        <f>O820*H820</f>
        <v>153.03164999999998</v>
      </c>
      <c r="Q820" s="2191">
        <v>0</v>
      </c>
      <c r="R820" s="2191">
        <f>Q820*H820</f>
        <v>0</v>
      </c>
      <c r="S820" s="2191">
        <v>0</v>
      </c>
      <c r="T820" s="2192">
        <f>S820*H820</f>
        <v>0</v>
      </c>
      <c r="AR820" s="2193" t="s">
        <v>2894</v>
      </c>
      <c r="AT820" s="2193" t="s">
        <v>3286</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f>ROUND(I820*H820,2)</f>
        <v>0</v>
      </c>
      <c r="BL820" s="2056" t="s">
        <v>2894</v>
      </c>
      <c r="BM820" s="2193" t="s">
        <v>10829</v>
      </c>
    </row>
    <row r="821" spans="2:65" s="2195" customFormat="1">
      <c r="B821" s="2196"/>
      <c r="D821" s="2197" t="s">
        <v>3303</v>
      </c>
      <c r="E821" s="2198" t="s">
        <v>3146</v>
      </c>
      <c r="F821" s="2199" t="s">
        <v>10820</v>
      </c>
      <c r="H821" s="2198" t="s">
        <v>3146</v>
      </c>
      <c r="L821" s="2196"/>
      <c r="M821" s="2200"/>
      <c r="T821" s="2201"/>
      <c r="AT821" s="2198" t="s">
        <v>3303</v>
      </c>
      <c r="AU821" s="2198" t="s">
        <v>134</v>
      </c>
      <c r="AV821" s="2195" t="s">
        <v>133</v>
      </c>
      <c r="AW821" s="2195" t="s">
        <v>3171</v>
      </c>
      <c r="AX821" s="2195" t="s">
        <v>3213</v>
      </c>
      <c r="AY821" s="2198" t="s">
        <v>3285</v>
      </c>
    </row>
    <row r="822" spans="2:65" s="2209" customFormat="1">
      <c r="B822" s="2210"/>
      <c r="D822" s="2197" t="s">
        <v>3303</v>
      </c>
      <c r="E822" s="2211" t="s">
        <v>3146</v>
      </c>
      <c r="F822" s="5560" t="s">
        <v>10821</v>
      </c>
      <c r="H822" s="5569">
        <v>890</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5560" t="s">
        <v>5226</v>
      </c>
      <c r="H823" s="5569">
        <v>245</v>
      </c>
      <c r="L823" s="2210"/>
      <c r="M823" s="2214"/>
      <c r="T823" s="2215"/>
      <c r="AT823" s="2211" t="s">
        <v>3303</v>
      </c>
      <c r="AU823" s="2211" t="s">
        <v>134</v>
      </c>
      <c r="AV823" s="2209" t="s">
        <v>134</v>
      </c>
      <c r="AW823" s="2209" t="s">
        <v>3171</v>
      </c>
      <c r="AX823" s="2209" t="s">
        <v>3213</v>
      </c>
      <c r="AY823" s="2211" t="s">
        <v>3285</v>
      </c>
    </row>
    <row r="824" spans="2:65" s="2195" customFormat="1">
      <c r="B824" s="2196"/>
      <c r="D824" s="2197" t="s">
        <v>3303</v>
      </c>
      <c r="E824" s="2198" t="s">
        <v>3146</v>
      </c>
      <c r="F824" s="2199" t="s">
        <v>10822</v>
      </c>
      <c r="H824" s="5608" t="s">
        <v>3146</v>
      </c>
      <c r="L824" s="2196"/>
      <c r="M824" s="2200"/>
      <c r="T824" s="2201"/>
      <c r="AT824" s="2198" t="s">
        <v>3303</v>
      </c>
      <c r="AU824" s="2198" t="s">
        <v>134</v>
      </c>
      <c r="AV824" s="2195" t="s">
        <v>133</v>
      </c>
      <c r="AW824" s="2195" t="s">
        <v>3171</v>
      </c>
      <c r="AX824" s="2195" t="s">
        <v>3213</v>
      </c>
      <c r="AY824" s="2198" t="s">
        <v>3285</v>
      </c>
    </row>
    <row r="825" spans="2:65" s="2209" customFormat="1" ht="15.75">
      <c r="B825" s="2210"/>
      <c r="D825" s="2197" t="s">
        <v>3303</v>
      </c>
      <c r="E825" s="2211" t="s">
        <v>3146</v>
      </c>
      <c r="F825" s="5560" t="s">
        <v>685</v>
      </c>
      <c r="H825" s="5569">
        <v>38</v>
      </c>
      <c r="J825" s="5626"/>
      <c r="L825" s="2210"/>
      <c r="M825" s="2214"/>
      <c r="N825" s="5626"/>
      <c r="T825" s="2215"/>
      <c r="AT825" s="2211" t="s">
        <v>3303</v>
      </c>
      <c r="AU825" s="2211" t="s">
        <v>134</v>
      </c>
      <c r="AV825" s="2209" t="s">
        <v>134</v>
      </c>
      <c r="AW825" s="2209" t="s">
        <v>3171</v>
      </c>
      <c r="AX825" s="2209" t="s">
        <v>3213</v>
      </c>
      <c r="AY825" s="2211" t="s">
        <v>3285</v>
      </c>
    </row>
    <row r="826" spans="2:65" s="2195" customFormat="1">
      <c r="B826" s="2196"/>
      <c r="D826" s="2197" t="s">
        <v>3303</v>
      </c>
      <c r="E826" s="2198" t="s">
        <v>3146</v>
      </c>
      <c r="F826" s="2199" t="s">
        <v>10823</v>
      </c>
      <c r="H826" s="5608" t="s">
        <v>3146</v>
      </c>
      <c r="L826" s="2196"/>
      <c r="M826" s="2200"/>
      <c r="T826" s="2201"/>
      <c r="AT826" s="2198" t="s">
        <v>3303</v>
      </c>
      <c r="AU826" s="2198" t="s">
        <v>134</v>
      </c>
      <c r="AV826" s="2195" t="s">
        <v>133</v>
      </c>
      <c r="AW826" s="2195" t="s">
        <v>3171</v>
      </c>
      <c r="AX826" s="2195" t="s">
        <v>3213</v>
      </c>
      <c r="AY826" s="2198" t="s">
        <v>3285</v>
      </c>
    </row>
    <row r="827" spans="2:65" s="2209" customFormat="1">
      <c r="B827" s="2210"/>
      <c r="D827" s="2197" t="s">
        <v>3303</v>
      </c>
      <c r="E827" s="2211" t="s">
        <v>3146</v>
      </c>
      <c r="F827" s="5560" t="s">
        <v>10824</v>
      </c>
      <c r="H827" s="5569">
        <v>116.1</v>
      </c>
      <c r="L827" s="2210"/>
      <c r="M827" s="2214"/>
      <c r="T827" s="2215"/>
      <c r="AT827" s="2211" t="s">
        <v>3303</v>
      </c>
      <c r="AU827" s="2211" t="s">
        <v>134</v>
      </c>
      <c r="AV827" s="2209" t="s">
        <v>134</v>
      </c>
      <c r="AW827" s="2209" t="s">
        <v>3171</v>
      </c>
      <c r="AX827" s="2209" t="s">
        <v>3213</v>
      </c>
      <c r="AY827" s="2211" t="s">
        <v>3285</v>
      </c>
    </row>
    <row r="828" spans="2:65" s="2209" customFormat="1">
      <c r="B828" s="2210"/>
      <c r="D828" s="2197" t="s">
        <v>3303</v>
      </c>
      <c r="E828" s="2211" t="s">
        <v>3146</v>
      </c>
      <c r="F828" s="5560" t="s">
        <v>2272</v>
      </c>
      <c r="H828" s="5569">
        <v>20</v>
      </c>
      <c r="L828" s="2210"/>
      <c r="M828" s="2214"/>
      <c r="T828" s="2215"/>
      <c r="AT828" s="2211" t="s">
        <v>3303</v>
      </c>
      <c r="AU828" s="2211" t="s">
        <v>134</v>
      </c>
      <c r="AV828" s="2209" t="s">
        <v>134</v>
      </c>
      <c r="AW828" s="2209" t="s">
        <v>3171</v>
      </c>
      <c r="AX828" s="2209" t="s">
        <v>3213</v>
      </c>
      <c r="AY828" s="2211" t="s">
        <v>3285</v>
      </c>
    </row>
    <row r="829" spans="2:65" s="2195" customFormat="1">
      <c r="B829" s="2196"/>
      <c r="D829" s="2197" t="s">
        <v>3303</v>
      </c>
      <c r="E829" s="2198" t="s">
        <v>3146</v>
      </c>
      <c r="F829" s="2199" t="s">
        <v>10825</v>
      </c>
      <c r="H829" s="5608" t="s">
        <v>3146</v>
      </c>
      <c r="L829" s="2196"/>
      <c r="M829" s="2200"/>
      <c r="T829" s="2201"/>
      <c r="AT829" s="2198" t="s">
        <v>3303</v>
      </c>
      <c r="AU829" s="2198" t="s">
        <v>134</v>
      </c>
      <c r="AV829" s="2195" t="s">
        <v>133</v>
      </c>
      <c r="AW829" s="2195" t="s">
        <v>3171</v>
      </c>
      <c r="AX829" s="2195" t="s">
        <v>3213</v>
      </c>
      <c r="AY829" s="2198" t="s">
        <v>3285</v>
      </c>
    </row>
    <row r="830" spans="2:65" s="2209" customFormat="1">
      <c r="B830" s="2210"/>
      <c r="D830" s="2197" t="s">
        <v>3303</v>
      </c>
      <c r="E830" s="2211" t="s">
        <v>3146</v>
      </c>
      <c r="F830" s="5560" t="s">
        <v>10826</v>
      </c>
      <c r="H830" s="5569">
        <v>21.61</v>
      </c>
      <c r="L830" s="2210"/>
      <c r="M830" s="2214"/>
      <c r="T830" s="2215"/>
      <c r="AT830" s="2211" t="s">
        <v>3303</v>
      </c>
      <c r="AU830" s="2211" t="s">
        <v>134</v>
      </c>
      <c r="AV830" s="2209" t="s">
        <v>134</v>
      </c>
      <c r="AW830" s="2209" t="s">
        <v>3171</v>
      </c>
      <c r="AX830" s="2209" t="s">
        <v>3213</v>
      </c>
      <c r="AY830" s="2211" t="s">
        <v>3285</v>
      </c>
    </row>
    <row r="831" spans="2:65" s="2216" customFormat="1">
      <c r="B831" s="2217"/>
      <c r="D831" s="2197" t="s">
        <v>3303</v>
      </c>
      <c r="E831" s="2218" t="s">
        <v>3146</v>
      </c>
      <c r="F831" s="2219" t="s">
        <v>3306</v>
      </c>
      <c r="H831" s="2220">
        <f>SUM(H822:H830)</f>
        <v>1330.7099999999998</v>
      </c>
      <c r="L831" s="2217"/>
      <c r="M831" s="2221"/>
      <c r="T831" s="2222"/>
      <c r="AT831" s="2218" t="s">
        <v>3303</v>
      </c>
      <c r="AU831" s="2218" t="s">
        <v>134</v>
      </c>
      <c r="AV831" s="2216" t="s">
        <v>856</v>
      </c>
      <c r="AW831" s="2216" t="s">
        <v>3171</v>
      </c>
      <c r="AX831" s="2216" t="s">
        <v>133</v>
      </c>
      <c r="AY831" s="2218" t="s">
        <v>3285</v>
      </c>
    </row>
    <row r="832" spans="2:65" s="2070" customFormat="1" ht="56.25" customHeight="1">
      <c r="B832" s="2164"/>
      <c r="C832" s="5609" t="s">
        <v>11705</v>
      </c>
      <c r="D832" s="5609" t="s">
        <v>135</v>
      </c>
      <c r="E832" s="5612" t="s">
        <v>11707</v>
      </c>
      <c r="F832" s="5613" t="s">
        <v>11706</v>
      </c>
      <c r="G832" s="5614" t="s">
        <v>611</v>
      </c>
      <c r="H832" s="5610">
        <f>H844</f>
        <v>1550.942505</v>
      </c>
      <c r="I832" s="5615"/>
      <c r="J832" s="5615">
        <f>ROUND(I832*H832,2)</f>
        <v>0</v>
      </c>
      <c r="K832" s="5613" t="s">
        <v>142</v>
      </c>
      <c r="L832" s="2223"/>
      <c r="M832" s="2224" t="s">
        <v>3146</v>
      </c>
      <c r="N832" s="2225" t="s">
        <v>3181</v>
      </c>
      <c r="O832" s="2191">
        <v>0</v>
      </c>
      <c r="P832" s="2191">
        <f>O832*H832</f>
        <v>0</v>
      </c>
      <c r="Q832" s="2191">
        <v>4.0000000000000001E-3</v>
      </c>
      <c r="R832" s="2191">
        <f>Q832*H832</f>
        <v>6.2037700200000003</v>
      </c>
      <c r="S832" s="2191">
        <v>0</v>
      </c>
      <c r="T832" s="2192">
        <f>S832*H832</f>
        <v>0</v>
      </c>
      <c r="AR832" s="2193" t="s">
        <v>3389</v>
      </c>
      <c r="AT832" s="2193" t="s">
        <v>135</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10835</v>
      </c>
    </row>
    <row r="833" spans="2:65" s="2195" customFormat="1">
      <c r="B833" s="2196"/>
      <c r="D833" s="2197" t="s">
        <v>3303</v>
      </c>
      <c r="E833" s="2198" t="s">
        <v>3146</v>
      </c>
      <c r="F833" s="2199" t="s">
        <v>10820</v>
      </c>
      <c r="H833" s="2198" t="s">
        <v>3146</v>
      </c>
      <c r="L833" s="2196"/>
      <c r="M833" s="2200"/>
      <c r="T833" s="2201"/>
      <c r="AT833" s="2198" t="s">
        <v>3303</v>
      </c>
      <c r="AU833" s="2198" t="s">
        <v>134</v>
      </c>
      <c r="AV833" s="2195" t="s">
        <v>133</v>
      </c>
      <c r="AW833" s="2195" t="s">
        <v>3171</v>
      </c>
      <c r="AX833" s="2195" t="s">
        <v>3213</v>
      </c>
      <c r="AY833" s="2198" t="s">
        <v>3285</v>
      </c>
    </row>
    <row r="834" spans="2:65" s="2209" customFormat="1">
      <c r="B834" s="2210"/>
      <c r="D834" s="2197" t="s">
        <v>3303</v>
      </c>
      <c r="E834" s="2211" t="s">
        <v>3146</v>
      </c>
      <c r="F834" s="5560" t="s">
        <v>10821</v>
      </c>
      <c r="H834" s="5569">
        <v>890</v>
      </c>
      <c r="L834" s="2210"/>
      <c r="M834" s="2214"/>
      <c r="T834" s="2215"/>
      <c r="AT834" s="2211" t="s">
        <v>3303</v>
      </c>
      <c r="AU834" s="2211" t="s">
        <v>134</v>
      </c>
      <c r="AV834" s="2209" t="s">
        <v>134</v>
      </c>
      <c r="AW834" s="2209" t="s">
        <v>3171</v>
      </c>
      <c r="AX834" s="2209" t="s">
        <v>3213</v>
      </c>
      <c r="AY834" s="2211" t="s">
        <v>3285</v>
      </c>
    </row>
    <row r="835" spans="2:65" s="2209" customFormat="1">
      <c r="B835" s="2210"/>
      <c r="D835" s="2197" t="s">
        <v>3303</v>
      </c>
      <c r="E835" s="2211" t="s">
        <v>3146</v>
      </c>
      <c r="F835" s="5560" t="s">
        <v>5226</v>
      </c>
      <c r="H835" s="5569">
        <v>245</v>
      </c>
      <c r="L835" s="2210"/>
      <c r="M835" s="2214"/>
      <c r="T835" s="2215"/>
      <c r="AT835" s="2211" t="s">
        <v>3303</v>
      </c>
      <c r="AU835" s="2211" t="s">
        <v>134</v>
      </c>
      <c r="AV835" s="2209" t="s">
        <v>134</v>
      </c>
      <c r="AW835" s="2209" t="s">
        <v>3171</v>
      </c>
      <c r="AX835" s="2209" t="s">
        <v>3213</v>
      </c>
      <c r="AY835" s="2211" t="s">
        <v>3285</v>
      </c>
    </row>
    <row r="836" spans="2:65" s="2195" customFormat="1">
      <c r="B836" s="2196"/>
      <c r="D836" s="2197" t="s">
        <v>3303</v>
      </c>
      <c r="E836" s="2198" t="s">
        <v>3146</v>
      </c>
      <c r="F836" s="2199" t="s">
        <v>10822</v>
      </c>
      <c r="H836" s="5608" t="s">
        <v>3146</v>
      </c>
      <c r="L836" s="2196"/>
      <c r="M836" s="2200"/>
      <c r="T836" s="2201"/>
      <c r="AT836" s="2198" t="s">
        <v>3303</v>
      </c>
      <c r="AU836" s="2198" t="s">
        <v>134</v>
      </c>
      <c r="AV836" s="2195" t="s">
        <v>133</v>
      </c>
      <c r="AW836" s="2195" t="s">
        <v>3171</v>
      </c>
      <c r="AX836" s="2195" t="s">
        <v>3213</v>
      </c>
      <c r="AY836" s="2198" t="s">
        <v>3285</v>
      </c>
    </row>
    <row r="837" spans="2:65" s="2209" customFormat="1">
      <c r="B837" s="2210"/>
      <c r="D837" s="2197" t="s">
        <v>3303</v>
      </c>
      <c r="E837" s="2211" t="s">
        <v>3146</v>
      </c>
      <c r="F837" s="5560" t="s">
        <v>685</v>
      </c>
      <c r="H837" s="5569">
        <v>38</v>
      </c>
      <c r="L837" s="2210"/>
      <c r="M837" s="2214"/>
      <c r="T837" s="2215"/>
      <c r="AT837" s="2211" t="s">
        <v>3303</v>
      </c>
      <c r="AU837" s="2211" t="s">
        <v>134</v>
      </c>
      <c r="AV837" s="2209" t="s">
        <v>134</v>
      </c>
      <c r="AW837" s="2209" t="s">
        <v>3171</v>
      </c>
      <c r="AX837" s="2209" t="s">
        <v>3213</v>
      </c>
      <c r="AY837" s="2211" t="s">
        <v>3285</v>
      </c>
    </row>
    <row r="838" spans="2:65" s="2195" customFormat="1">
      <c r="B838" s="2196"/>
      <c r="D838" s="2197" t="s">
        <v>3303</v>
      </c>
      <c r="E838" s="2198" t="s">
        <v>3146</v>
      </c>
      <c r="F838" s="2199" t="s">
        <v>10823</v>
      </c>
      <c r="H838" s="5608" t="s">
        <v>3146</v>
      </c>
      <c r="L838" s="2196"/>
      <c r="M838" s="2200"/>
      <c r="T838" s="2201"/>
      <c r="AT838" s="2198" t="s">
        <v>3303</v>
      </c>
      <c r="AU838" s="2198" t="s">
        <v>134</v>
      </c>
      <c r="AV838" s="2195" t="s">
        <v>133</v>
      </c>
      <c r="AW838" s="2195" t="s">
        <v>3171</v>
      </c>
      <c r="AX838" s="2195" t="s">
        <v>3213</v>
      </c>
      <c r="AY838" s="2198" t="s">
        <v>3285</v>
      </c>
    </row>
    <row r="839" spans="2:65" s="2209" customFormat="1">
      <c r="B839" s="2210"/>
      <c r="D839" s="2197" t="s">
        <v>3303</v>
      </c>
      <c r="E839" s="2211" t="s">
        <v>3146</v>
      </c>
      <c r="F839" s="5560" t="s">
        <v>10824</v>
      </c>
      <c r="H839" s="5569">
        <v>116.1</v>
      </c>
      <c r="L839" s="2210"/>
      <c r="M839" s="2214"/>
      <c r="T839" s="2215"/>
      <c r="AT839" s="2211" t="s">
        <v>3303</v>
      </c>
      <c r="AU839" s="2211" t="s">
        <v>134</v>
      </c>
      <c r="AV839" s="2209" t="s">
        <v>134</v>
      </c>
      <c r="AW839" s="2209" t="s">
        <v>3171</v>
      </c>
      <c r="AX839" s="2209" t="s">
        <v>3213</v>
      </c>
      <c r="AY839" s="2211" t="s">
        <v>3285</v>
      </c>
    </row>
    <row r="840" spans="2:65" s="2209" customFormat="1">
      <c r="B840" s="2210"/>
      <c r="D840" s="2197" t="s">
        <v>3303</v>
      </c>
      <c r="E840" s="2211" t="s">
        <v>3146</v>
      </c>
      <c r="F840" s="5560" t="s">
        <v>2272</v>
      </c>
      <c r="H840" s="5569">
        <v>20</v>
      </c>
      <c r="L840" s="2210"/>
      <c r="M840" s="2214"/>
      <c r="T840" s="2215"/>
      <c r="AT840" s="2211" t="s">
        <v>3303</v>
      </c>
      <c r="AU840" s="2211" t="s">
        <v>134</v>
      </c>
      <c r="AV840" s="2209" t="s">
        <v>134</v>
      </c>
      <c r="AW840" s="2209" t="s">
        <v>3171</v>
      </c>
      <c r="AX840" s="2209" t="s">
        <v>3213</v>
      </c>
      <c r="AY840" s="2211" t="s">
        <v>3285</v>
      </c>
    </row>
    <row r="841" spans="2:65" s="2195" customFormat="1">
      <c r="B841" s="2196"/>
      <c r="D841" s="2197" t="s">
        <v>3303</v>
      </c>
      <c r="E841" s="2198" t="s">
        <v>3146</v>
      </c>
      <c r="F841" s="2199" t="s">
        <v>10825</v>
      </c>
      <c r="H841" s="5608" t="s">
        <v>3146</v>
      </c>
      <c r="L841" s="2196"/>
      <c r="M841" s="2200"/>
      <c r="T841" s="2201"/>
      <c r="AT841" s="2198" t="s">
        <v>3303</v>
      </c>
      <c r="AU841" s="2198" t="s">
        <v>134</v>
      </c>
      <c r="AV841" s="2195" t="s">
        <v>133</v>
      </c>
      <c r="AW841" s="2195" t="s">
        <v>3171</v>
      </c>
      <c r="AX841" s="2195" t="s">
        <v>3213</v>
      </c>
      <c r="AY841" s="2198" t="s">
        <v>3285</v>
      </c>
    </row>
    <row r="842" spans="2:65" s="2209" customFormat="1">
      <c r="B842" s="2210"/>
      <c r="D842" s="2197" t="s">
        <v>3303</v>
      </c>
      <c r="E842" s="2211" t="s">
        <v>3146</v>
      </c>
      <c r="F842" s="5560" t="s">
        <v>10826</v>
      </c>
      <c r="H842" s="5569">
        <v>21.61</v>
      </c>
      <c r="L842" s="2210"/>
      <c r="M842" s="2214"/>
      <c r="T842" s="2215"/>
      <c r="AT842" s="2211" t="s">
        <v>3303</v>
      </c>
      <c r="AU842" s="2211" t="s">
        <v>134</v>
      </c>
      <c r="AV842" s="2209" t="s">
        <v>134</v>
      </c>
      <c r="AW842" s="2209" t="s">
        <v>3171</v>
      </c>
      <c r="AX842" s="2209" t="s">
        <v>3213</v>
      </c>
      <c r="AY842" s="2211" t="s">
        <v>3285</v>
      </c>
    </row>
    <row r="843" spans="2:65" s="2216" customFormat="1">
      <c r="B843" s="2217"/>
      <c r="D843" s="2197" t="s">
        <v>3303</v>
      </c>
      <c r="E843" s="2218" t="s">
        <v>3146</v>
      </c>
      <c r="F843" s="2219" t="s">
        <v>3306</v>
      </c>
      <c r="H843" s="2220">
        <f>SUM(H834:H842)</f>
        <v>1330.7099999999998</v>
      </c>
      <c r="L843" s="2217"/>
      <c r="M843" s="2221"/>
      <c r="T843" s="2222"/>
      <c r="AT843" s="2218" t="s">
        <v>3303</v>
      </c>
      <c r="AU843" s="2218" t="s">
        <v>134</v>
      </c>
      <c r="AV843" s="2216" t="s">
        <v>856</v>
      </c>
      <c r="AW843" s="2216" t="s">
        <v>3171</v>
      </c>
      <c r="AX843" s="2216" t="s">
        <v>133</v>
      </c>
      <c r="AY843" s="2218" t="s">
        <v>3285</v>
      </c>
    </row>
    <row r="844" spans="2:65" s="2209" customFormat="1">
      <c r="B844" s="2210"/>
      <c r="D844" s="2197" t="s">
        <v>3303</v>
      </c>
      <c r="F844" s="5560" t="s">
        <v>10834</v>
      </c>
      <c r="H844" s="2213">
        <f>1330.71*1.1655</f>
        <v>1550.942505</v>
      </c>
      <c r="L844" s="2210"/>
      <c r="M844" s="2214"/>
      <c r="T844" s="2215"/>
      <c r="AT844" s="2211" t="s">
        <v>3303</v>
      </c>
      <c r="AU844" s="2211" t="s">
        <v>134</v>
      </c>
      <c r="AV844" s="2209" t="s">
        <v>134</v>
      </c>
      <c r="AW844" s="2209" t="s">
        <v>3148</v>
      </c>
      <c r="AX844" s="2209" t="s">
        <v>133</v>
      </c>
      <c r="AY844" s="2211" t="s">
        <v>3285</v>
      </c>
    </row>
    <row r="845" spans="2:65" s="2070" customFormat="1" ht="24.2" customHeight="1">
      <c r="B845" s="2164"/>
      <c r="C845" s="4608" t="s">
        <v>4032</v>
      </c>
      <c r="D845" s="4608" t="s">
        <v>3286</v>
      </c>
      <c r="E845" s="4609" t="s">
        <v>10836</v>
      </c>
      <c r="F845" s="4610" t="s">
        <v>10837</v>
      </c>
      <c r="G845" s="4611" t="s">
        <v>611</v>
      </c>
      <c r="H845" s="4612">
        <v>1330.71</v>
      </c>
      <c r="I845" s="4613"/>
      <c r="J845" s="4613">
        <f>ROUND(I845*H845,2)</f>
        <v>0</v>
      </c>
      <c r="K845" s="4610" t="s">
        <v>142</v>
      </c>
      <c r="L845" s="2071"/>
      <c r="M845" s="2190" t="s">
        <v>3146</v>
      </c>
      <c r="N845" s="2163" t="s">
        <v>3181</v>
      </c>
      <c r="O845" s="2191">
        <v>0.09</v>
      </c>
      <c r="P845" s="2191">
        <f>O845*H845</f>
        <v>119.76389999999999</v>
      </c>
      <c r="Q845" s="2191">
        <v>0</v>
      </c>
      <c r="R845" s="2191">
        <f>Q845*H845</f>
        <v>0</v>
      </c>
      <c r="S845" s="2191">
        <v>0</v>
      </c>
      <c r="T845" s="2192">
        <f>S845*H845</f>
        <v>0</v>
      </c>
      <c r="AR845" s="2193" t="s">
        <v>2894</v>
      </c>
      <c r="AT845" s="2193" t="s">
        <v>3286</v>
      </c>
      <c r="AU845" s="2193" t="s">
        <v>134</v>
      </c>
      <c r="AY845" s="2056" t="s">
        <v>3285</v>
      </c>
      <c r="BE845" s="2194">
        <f>IF(N845="základní",J845,0)</f>
        <v>0</v>
      </c>
      <c r="BF845" s="2194">
        <f>IF(N845="snížená",J845,0)</f>
        <v>0</v>
      </c>
      <c r="BG845" s="2194">
        <f>IF(N845="zákl. přenesená",J845,0)</f>
        <v>0</v>
      </c>
      <c r="BH845" s="2194">
        <f>IF(N845="sníž. přenesená",J845,0)</f>
        <v>0</v>
      </c>
      <c r="BI845" s="2194">
        <f>IF(N845="nulová",J845,0)</f>
        <v>0</v>
      </c>
      <c r="BJ845" s="2056" t="s">
        <v>134</v>
      </c>
      <c r="BK845" s="2194">
        <f>ROUND(I845*H845,2)</f>
        <v>0</v>
      </c>
      <c r="BL845" s="2056" t="s">
        <v>2894</v>
      </c>
      <c r="BM845" s="2193" t="s">
        <v>10838</v>
      </c>
    </row>
    <row r="846" spans="2:65" s="2202" customFormat="1">
      <c r="B846" s="2203"/>
      <c r="D846" s="2197" t="s">
        <v>3303</v>
      </c>
      <c r="E846" s="2204" t="s">
        <v>3146</v>
      </c>
      <c r="F846" s="2205" t="s">
        <v>3305</v>
      </c>
      <c r="H846" s="2206">
        <v>0</v>
      </c>
      <c r="L846" s="2203"/>
      <c r="M846" s="2207"/>
      <c r="T846" s="2208"/>
      <c r="AT846" s="2204" t="s">
        <v>3303</v>
      </c>
      <c r="AU846" s="2204" t="s">
        <v>134</v>
      </c>
      <c r="AV846" s="2202" t="s">
        <v>854</v>
      </c>
      <c r="AW846" s="2202" t="s">
        <v>3171</v>
      </c>
      <c r="AX846" s="2202" t="s">
        <v>3213</v>
      </c>
      <c r="AY846" s="2204" t="s">
        <v>3285</v>
      </c>
    </row>
    <row r="847" spans="2:65" s="2195" customFormat="1">
      <c r="B847" s="2196"/>
      <c r="D847" s="2197" t="s">
        <v>3303</v>
      </c>
      <c r="E847" s="2198" t="s">
        <v>3146</v>
      </c>
      <c r="F847" s="2199" t="s">
        <v>10820</v>
      </c>
      <c r="H847" s="2198" t="s">
        <v>3146</v>
      </c>
      <c r="L847" s="2196"/>
      <c r="M847" s="2200"/>
      <c r="T847" s="2201"/>
      <c r="AT847" s="2198" t="s">
        <v>3303</v>
      </c>
      <c r="AU847" s="2198" t="s">
        <v>134</v>
      </c>
      <c r="AV847" s="2195" t="s">
        <v>133</v>
      </c>
      <c r="AW847" s="2195" t="s">
        <v>3171</v>
      </c>
      <c r="AX847" s="2195" t="s">
        <v>3213</v>
      </c>
      <c r="AY847" s="2198" t="s">
        <v>3285</v>
      </c>
    </row>
    <row r="848" spans="2:65" s="2209" customFormat="1">
      <c r="B848" s="2210"/>
      <c r="D848" s="2197" t="s">
        <v>3303</v>
      </c>
      <c r="E848" s="2211" t="s">
        <v>3146</v>
      </c>
      <c r="F848" s="2212" t="s">
        <v>10821</v>
      </c>
      <c r="H848" s="2213">
        <v>890</v>
      </c>
      <c r="L848" s="2210"/>
      <c r="M848" s="2214"/>
      <c r="T848" s="2215"/>
      <c r="AT848" s="2211" t="s">
        <v>3303</v>
      </c>
      <c r="AU848" s="2211" t="s">
        <v>134</v>
      </c>
      <c r="AV848" s="2209" t="s">
        <v>134</v>
      </c>
      <c r="AW848" s="2209" t="s">
        <v>3171</v>
      </c>
      <c r="AX848" s="2209" t="s">
        <v>3213</v>
      </c>
      <c r="AY848" s="2211" t="s">
        <v>3285</v>
      </c>
    </row>
    <row r="849" spans="2:65" s="2209" customFormat="1">
      <c r="B849" s="2210"/>
      <c r="D849" s="2197" t="s">
        <v>3303</v>
      </c>
      <c r="E849" s="2211" t="s">
        <v>3146</v>
      </c>
      <c r="F849" s="2212" t="s">
        <v>5226</v>
      </c>
      <c r="H849" s="2213">
        <v>245</v>
      </c>
      <c r="L849" s="2210"/>
      <c r="M849" s="2214"/>
      <c r="T849" s="2215"/>
      <c r="AT849" s="2211" t="s">
        <v>3303</v>
      </c>
      <c r="AU849" s="2211" t="s">
        <v>134</v>
      </c>
      <c r="AV849" s="2209" t="s">
        <v>134</v>
      </c>
      <c r="AW849" s="2209" t="s">
        <v>3171</v>
      </c>
      <c r="AX849" s="2209" t="s">
        <v>3213</v>
      </c>
      <c r="AY849" s="2211" t="s">
        <v>3285</v>
      </c>
    </row>
    <row r="850" spans="2:65" s="2195" customFormat="1">
      <c r="B850" s="2196"/>
      <c r="D850" s="2197" t="s">
        <v>3303</v>
      </c>
      <c r="E850" s="2198" t="s">
        <v>3146</v>
      </c>
      <c r="F850" s="2199" t="s">
        <v>10822</v>
      </c>
      <c r="H850" s="2198" t="s">
        <v>3146</v>
      </c>
      <c r="L850" s="2196"/>
      <c r="M850" s="2200"/>
      <c r="T850" s="2201"/>
      <c r="AT850" s="2198" t="s">
        <v>3303</v>
      </c>
      <c r="AU850" s="2198" t="s">
        <v>134</v>
      </c>
      <c r="AV850" s="2195" t="s">
        <v>133</v>
      </c>
      <c r="AW850" s="2195" t="s">
        <v>3171</v>
      </c>
      <c r="AX850" s="2195" t="s">
        <v>3213</v>
      </c>
      <c r="AY850" s="2198" t="s">
        <v>3285</v>
      </c>
    </row>
    <row r="851" spans="2:65" s="2209" customFormat="1">
      <c r="B851" s="2210"/>
      <c r="D851" s="2197" t="s">
        <v>3303</v>
      </c>
      <c r="E851" s="2211" t="s">
        <v>3146</v>
      </c>
      <c r="F851" s="2212" t="s">
        <v>685</v>
      </c>
      <c r="H851" s="2213">
        <v>38</v>
      </c>
      <c r="L851" s="2210"/>
      <c r="M851" s="2214"/>
      <c r="T851" s="2215"/>
      <c r="AT851" s="2211" t="s">
        <v>3303</v>
      </c>
      <c r="AU851" s="2211" t="s">
        <v>134</v>
      </c>
      <c r="AV851" s="2209" t="s">
        <v>134</v>
      </c>
      <c r="AW851" s="2209" t="s">
        <v>3171</v>
      </c>
      <c r="AX851" s="2209" t="s">
        <v>3213</v>
      </c>
      <c r="AY851" s="2211" t="s">
        <v>3285</v>
      </c>
    </row>
    <row r="852" spans="2:65" s="2195" customFormat="1">
      <c r="B852" s="2196"/>
      <c r="D852" s="2197" t="s">
        <v>3303</v>
      </c>
      <c r="E852" s="2198" t="s">
        <v>3146</v>
      </c>
      <c r="F852" s="2199" t="s">
        <v>10823</v>
      </c>
      <c r="H852" s="2198" t="s">
        <v>3146</v>
      </c>
      <c r="L852" s="2196"/>
      <c r="M852" s="2200"/>
      <c r="T852" s="2201"/>
      <c r="AT852" s="2198" t="s">
        <v>3303</v>
      </c>
      <c r="AU852" s="2198" t="s">
        <v>134</v>
      </c>
      <c r="AV852" s="2195" t="s">
        <v>133</v>
      </c>
      <c r="AW852" s="2195" t="s">
        <v>3171</v>
      </c>
      <c r="AX852" s="2195" t="s">
        <v>3213</v>
      </c>
      <c r="AY852" s="2198" t="s">
        <v>3285</v>
      </c>
    </row>
    <row r="853" spans="2:65" s="2209" customFormat="1">
      <c r="B853" s="2210"/>
      <c r="D853" s="2197" t="s">
        <v>3303</v>
      </c>
      <c r="E853" s="2211" t="s">
        <v>3146</v>
      </c>
      <c r="F853" s="2212" t="s">
        <v>10824</v>
      </c>
      <c r="H853" s="2213">
        <v>116.1</v>
      </c>
      <c r="L853" s="2210"/>
      <c r="M853" s="2214"/>
      <c r="T853" s="2215"/>
      <c r="AT853" s="2211" t="s">
        <v>3303</v>
      </c>
      <c r="AU853" s="2211" t="s">
        <v>134</v>
      </c>
      <c r="AV853" s="2209" t="s">
        <v>134</v>
      </c>
      <c r="AW853" s="2209" t="s">
        <v>3171</v>
      </c>
      <c r="AX853" s="2209" t="s">
        <v>3213</v>
      </c>
      <c r="AY853" s="2211" t="s">
        <v>3285</v>
      </c>
    </row>
    <row r="854" spans="2:65" s="2209" customFormat="1">
      <c r="B854" s="2210"/>
      <c r="D854" s="2197" t="s">
        <v>3303</v>
      </c>
      <c r="E854" s="2211" t="s">
        <v>3146</v>
      </c>
      <c r="F854" s="2212" t="s">
        <v>2272</v>
      </c>
      <c r="H854" s="2213">
        <v>20</v>
      </c>
      <c r="L854" s="2210"/>
      <c r="M854" s="2214"/>
      <c r="T854" s="2215"/>
      <c r="AT854" s="2211" t="s">
        <v>3303</v>
      </c>
      <c r="AU854" s="2211" t="s">
        <v>134</v>
      </c>
      <c r="AV854" s="2209" t="s">
        <v>134</v>
      </c>
      <c r="AW854" s="2209" t="s">
        <v>3171</v>
      </c>
      <c r="AX854" s="2209" t="s">
        <v>3213</v>
      </c>
      <c r="AY854" s="2211" t="s">
        <v>3285</v>
      </c>
    </row>
    <row r="855" spans="2:65" s="2195" customFormat="1">
      <c r="B855" s="2196"/>
      <c r="D855" s="2197" t="s">
        <v>3303</v>
      </c>
      <c r="E855" s="2198" t="s">
        <v>3146</v>
      </c>
      <c r="F855" s="2199" t="s">
        <v>10825</v>
      </c>
      <c r="H855" s="2198" t="s">
        <v>3146</v>
      </c>
      <c r="L855" s="2196"/>
      <c r="M855" s="2200"/>
      <c r="T855" s="2201"/>
      <c r="AT855" s="2198" t="s">
        <v>3303</v>
      </c>
      <c r="AU855" s="2198" t="s">
        <v>134</v>
      </c>
      <c r="AV855" s="2195" t="s">
        <v>133</v>
      </c>
      <c r="AW855" s="2195" t="s">
        <v>3171</v>
      </c>
      <c r="AX855" s="2195" t="s">
        <v>3213</v>
      </c>
      <c r="AY855" s="2198" t="s">
        <v>3285</v>
      </c>
    </row>
    <row r="856" spans="2:65" s="2209" customFormat="1">
      <c r="B856" s="2210"/>
      <c r="D856" s="2197" t="s">
        <v>3303</v>
      </c>
      <c r="E856" s="2211" t="s">
        <v>3146</v>
      </c>
      <c r="F856" s="2212" t="s">
        <v>10826</v>
      </c>
      <c r="H856" s="2213">
        <v>21.61</v>
      </c>
      <c r="L856" s="2210"/>
      <c r="M856" s="2214"/>
      <c r="T856" s="2215"/>
      <c r="AT856" s="2211" t="s">
        <v>3303</v>
      </c>
      <c r="AU856" s="2211" t="s">
        <v>134</v>
      </c>
      <c r="AV856" s="2209" t="s">
        <v>134</v>
      </c>
      <c r="AW856" s="2209" t="s">
        <v>3171</v>
      </c>
      <c r="AX856" s="2209" t="s">
        <v>3213</v>
      </c>
      <c r="AY856" s="2211" t="s">
        <v>3285</v>
      </c>
    </row>
    <row r="857" spans="2:65" s="2216" customFormat="1">
      <c r="B857" s="2217"/>
      <c r="D857" s="2197" t="s">
        <v>3303</v>
      </c>
      <c r="E857" s="2218" t="s">
        <v>3146</v>
      </c>
      <c r="F857" s="2219" t="s">
        <v>3306</v>
      </c>
      <c r="H857" s="2220">
        <v>1330.71</v>
      </c>
      <c r="L857" s="2217"/>
      <c r="M857" s="2221"/>
      <c r="T857" s="2222"/>
      <c r="AT857" s="2218" t="s">
        <v>3303</v>
      </c>
      <c r="AU857" s="2218" t="s">
        <v>134</v>
      </c>
      <c r="AV857" s="2216" t="s">
        <v>856</v>
      </c>
      <c r="AW857" s="2216" t="s">
        <v>3171</v>
      </c>
      <c r="AX857" s="2216" t="s">
        <v>133</v>
      </c>
      <c r="AY857" s="2218" t="s">
        <v>3285</v>
      </c>
    </row>
    <row r="858" spans="2:65" s="2070" customFormat="1" ht="24.2" customHeight="1">
      <c r="B858" s="2164"/>
      <c r="C858" s="4614" t="s">
        <v>4033</v>
      </c>
      <c r="D858" s="4614" t="s">
        <v>135</v>
      </c>
      <c r="E858" s="4615" t="s">
        <v>10839</v>
      </c>
      <c r="F858" s="4616" t="s">
        <v>10840</v>
      </c>
      <c r="G858" s="4617" t="s">
        <v>611</v>
      </c>
      <c r="H858" s="4618">
        <v>1536.97</v>
      </c>
      <c r="I858" s="4619"/>
      <c r="J858" s="4619">
        <f>ROUND(I858*H858,2)</f>
        <v>0</v>
      </c>
      <c r="K858" s="4616" t="s">
        <v>142</v>
      </c>
      <c r="L858" s="2223"/>
      <c r="M858" s="2224" t="s">
        <v>3146</v>
      </c>
      <c r="N858" s="2225" t="s">
        <v>3181</v>
      </c>
      <c r="O858" s="2191">
        <v>0</v>
      </c>
      <c r="P858" s="2191">
        <f>O858*H858</f>
        <v>0</v>
      </c>
      <c r="Q858" s="2191">
        <v>5.0000000000000001E-4</v>
      </c>
      <c r="R858" s="2191">
        <f>Q858*H858</f>
        <v>0.76848500000000008</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10841</v>
      </c>
    </row>
    <row r="859" spans="2:65" s="2209" customFormat="1">
      <c r="B859" s="2210"/>
      <c r="D859" s="2197" t="s">
        <v>3303</v>
      </c>
      <c r="F859" s="2212" t="s">
        <v>10842</v>
      </c>
      <c r="H859" s="2213">
        <v>1536.97</v>
      </c>
      <c r="L859" s="2210"/>
      <c r="M859" s="2214"/>
      <c r="T859" s="2215"/>
      <c r="AT859" s="2211" t="s">
        <v>3303</v>
      </c>
      <c r="AU859" s="2211" t="s">
        <v>134</v>
      </c>
      <c r="AV859" s="2209" t="s">
        <v>134</v>
      </c>
      <c r="AW859" s="2209" t="s">
        <v>3148</v>
      </c>
      <c r="AX859" s="2209" t="s">
        <v>133</v>
      </c>
      <c r="AY859" s="2211" t="s">
        <v>3285</v>
      </c>
    </row>
    <row r="860" spans="2:65" s="2070" customFormat="1" ht="24.2" customHeight="1">
      <c r="B860" s="2164"/>
      <c r="C860" s="4608" t="s">
        <v>4034</v>
      </c>
      <c r="D860" s="4608" t="s">
        <v>3286</v>
      </c>
      <c r="E860" s="4609" t="s">
        <v>10843</v>
      </c>
      <c r="F860" s="4610" t="s">
        <v>10844</v>
      </c>
      <c r="G860" s="4611" t="s">
        <v>611</v>
      </c>
      <c r="H860" s="4612">
        <v>1330.71</v>
      </c>
      <c r="I860" s="4613"/>
      <c r="J860" s="4613">
        <f>ROUND(I860*H860,2)</f>
        <v>0</v>
      </c>
      <c r="K860" s="4610" t="s">
        <v>142</v>
      </c>
      <c r="L860" s="2071"/>
      <c r="M860" s="2190" t="s">
        <v>3146</v>
      </c>
      <c r="N860" s="2163" t="s">
        <v>3181</v>
      </c>
      <c r="O860" s="2191">
        <v>0.11</v>
      </c>
      <c r="P860" s="2191">
        <f>O860*H860</f>
        <v>146.37810000000002</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10845</v>
      </c>
    </row>
    <row r="861" spans="2:65" s="2070" customFormat="1" ht="24.2" customHeight="1">
      <c r="B861" s="2164"/>
      <c r="C861" s="4614" t="s">
        <v>4035</v>
      </c>
      <c r="D861" s="4614" t="s">
        <v>135</v>
      </c>
      <c r="E861" s="4615" t="s">
        <v>10839</v>
      </c>
      <c r="F861" s="4616" t="s">
        <v>10840</v>
      </c>
      <c r="G861" s="4617" t="s">
        <v>611</v>
      </c>
      <c r="H861" s="4618">
        <v>1536.97</v>
      </c>
      <c r="I861" s="4619"/>
      <c r="J861" s="4619">
        <f>ROUND(I861*H861,2)</f>
        <v>0</v>
      </c>
      <c r="K861" s="4616" t="s">
        <v>142</v>
      </c>
      <c r="L861" s="2223"/>
      <c r="M861" s="2224" t="s">
        <v>3146</v>
      </c>
      <c r="N861" s="2225" t="s">
        <v>3181</v>
      </c>
      <c r="O861" s="2191">
        <v>0</v>
      </c>
      <c r="P861" s="2191">
        <f>O861*H861</f>
        <v>0</v>
      </c>
      <c r="Q861" s="2191">
        <v>5.0000000000000001E-4</v>
      </c>
      <c r="R861" s="2191">
        <f>Q861*H861</f>
        <v>0.76848500000000008</v>
      </c>
      <c r="S861" s="2191">
        <v>0</v>
      </c>
      <c r="T861" s="2192">
        <f>S861*H861</f>
        <v>0</v>
      </c>
      <c r="AR861" s="2193" t="s">
        <v>3389</v>
      </c>
      <c r="AT861" s="2193" t="s">
        <v>135</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10846</v>
      </c>
    </row>
    <row r="862" spans="2:65" s="2209" customFormat="1">
      <c r="B862" s="2210"/>
      <c r="D862" s="2197" t="s">
        <v>3303</v>
      </c>
      <c r="F862" s="2212" t="s">
        <v>10842</v>
      </c>
      <c r="H862" s="2213">
        <v>1536.97</v>
      </c>
      <c r="L862" s="2210"/>
      <c r="M862" s="2214"/>
      <c r="T862" s="2215"/>
      <c r="AT862" s="2211" t="s">
        <v>3303</v>
      </c>
      <c r="AU862" s="2211" t="s">
        <v>134</v>
      </c>
      <c r="AV862" s="2209" t="s">
        <v>134</v>
      </c>
      <c r="AW862" s="2209" t="s">
        <v>3148</v>
      </c>
      <c r="AX862" s="2209" t="s">
        <v>133</v>
      </c>
      <c r="AY862" s="2211" t="s">
        <v>3285</v>
      </c>
    </row>
    <row r="863" spans="2:65" s="2070" customFormat="1" ht="33" customHeight="1">
      <c r="B863" s="2164"/>
      <c r="C863" s="4608" t="s">
        <v>4038</v>
      </c>
      <c r="D863" s="4608" t="s">
        <v>3286</v>
      </c>
      <c r="E863" s="4609" t="s">
        <v>10847</v>
      </c>
      <c r="F863" s="4610" t="s">
        <v>10848</v>
      </c>
      <c r="G863" s="4611" t="s">
        <v>611</v>
      </c>
      <c r="H863" s="4612">
        <v>1044.0999999999999</v>
      </c>
      <c r="I863" s="4613"/>
      <c r="J863" s="4613">
        <f>ROUND(I863*H863,2)</f>
        <v>0</v>
      </c>
      <c r="K863" s="4610" t="s">
        <v>142</v>
      </c>
      <c r="L863" s="2071"/>
      <c r="M863" s="2190" t="s">
        <v>3146</v>
      </c>
      <c r="N863" s="2163" t="s">
        <v>3181</v>
      </c>
      <c r="O863" s="2191">
        <v>0.113</v>
      </c>
      <c r="P863" s="2191">
        <f>O863*H863</f>
        <v>117.9833</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10849</v>
      </c>
    </row>
    <row r="864" spans="2:65" s="2209" customFormat="1">
      <c r="B864" s="2210"/>
      <c r="D864" s="2197" t="s">
        <v>3303</v>
      </c>
      <c r="E864" s="2211" t="s">
        <v>3146</v>
      </c>
      <c r="F864" s="2212" t="s">
        <v>10850</v>
      </c>
      <c r="H864" s="2213">
        <v>1044.0999999999999</v>
      </c>
      <c r="L864" s="2210"/>
      <c r="M864" s="2214"/>
      <c r="T864" s="2215"/>
      <c r="AT864" s="2211" t="s">
        <v>3303</v>
      </c>
      <c r="AU864" s="2211" t="s">
        <v>134</v>
      </c>
      <c r="AV864" s="2209" t="s">
        <v>134</v>
      </c>
      <c r="AW864" s="2209" t="s">
        <v>3171</v>
      </c>
      <c r="AX864" s="2209" t="s">
        <v>133</v>
      </c>
      <c r="AY864" s="2211" t="s">
        <v>3285</v>
      </c>
    </row>
    <row r="865" spans="2:65" s="2070" customFormat="1" ht="21.75" customHeight="1">
      <c r="B865" s="2164"/>
      <c r="C865" s="4614" t="s">
        <v>4043</v>
      </c>
      <c r="D865" s="4614" t="s">
        <v>135</v>
      </c>
      <c r="E865" s="4615" t="s">
        <v>10851</v>
      </c>
      <c r="F865" s="4616" t="s">
        <v>10852</v>
      </c>
      <c r="G865" s="4617" t="s">
        <v>611</v>
      </c>
      <c r="H865" s="4618">
        <v>1096.3050000000001</v>
      </c>
      <c r="I865" s="4619"/>
      <c r="J865" s="4619">
        <f>ROUND(I865*H865,2)</f>
        <v>0</v>
      </c>
      <c r="K865" s="4616" t="s">
        <v>142</v>
      </c>
      <c r="L865" s="2223"/>
      <c r="M865" s="2224" t="s">
        <v>3146</v>
      </c>
      <c r="N865" s="2225" t="s">
        <v>3181</v>
      </c>
      <c r="O865" s="2191">
        <v>0</v>
      </c>
      <c r="P865" s="2191">
        <f>O865*H865</f>
        <v>0</v>
      </c>
      <c r="Q865" s="2191">
        <v>4.3E-3</v>
      </c>
      <c r="R865" s="2191">
        <f>Q865*H865</f>
        <v>4.7141115000000005</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10853</v>
      </c>
    </row>
    <row r="866" spans="2:65" s="2209" customFormat="1">
      <c r="B866" s="2210"/>
      <c r="D866" s="2197" t="s">
        <v>3303</v>
      </c>
      <c r="F866" s="2212" t="s">
        <v>10854</v>
      </c>
      <c r="H866" s="2213">
        <v>1096.3050000000001</v>
      </c>
      <c r="L866" s="2210"/>
      <c r="M866" s="2214"/>
      <c r="T866" s="2215"/>
      <c r="AT866" s="2211" t="s">
        <v>3303</v>
      </c>
      <c r="AU866" s="2211" t="s">
        <v>134</v>
      </c>
      <c r="AV866" s="2209" t="s">
        <v>134</v>
      </c>
      <c r="AW866" s="2209" t="s">
        <v>3148</v>
      </c>
      <c r="AX866" s="2209" t="s">
        <v>133</v>
      </c>
      <c r="AY866" s="2211" t="s">
        <v>3285</v>
      </c>
    </row>
    <row r="867" spans="2:65" s="2070" customFormat="1" ht="33" customHeight="1">
      <c r="B867" s="2164"/>
      <c r="C867" s="4608" t="s">
        <v>4051</v>
      </c>
      <c r="D867" s="4608" t="s">
        <v>3286</v>
      </c>
      <c r="E867" s="4609" t="s">
        <v>10855</v>
      </c>
      <c r="F867" s="4610" t="s">
        <v>10856</v>
      </c>
      <c r="G867" s="4611" t="s">
        <v>611</v>
      </c>
      <c r="H867" s="4612">
        <v>1044.0999999999999</v>
      </c>
      <c r="I867" s="4613"/>
      <c r="J867" s="4613">
        <f>ROUND(I867*H867,2)</f>
        <v>0</v>
      </c>
      <c r="K867" s="4610" t="s">
        <v>142</v>
      </c>
      <c r="L867" s="2071"/>
      <c r="M867" s="2190" t="s">
        <v>3146</v>
      </c>
      <c r="N867" s="2163" t="s">
        <v>3181</v>
      </c>
      <c r="O867" s="2191">
        <v>9.2999999999999999E-2</v>
      </c>
      <c r="P867" s="2191">
        <f>O867*H867</f>
        <v>97.101299999999995</v>
      </c>
      <c r="Q867" s="2191">
        <v>0</v>
      </c>
      <c r="R867" s="2191">
        <f>Q867*H867</f>
        <v>0</v>
      </c>
      <c r="S867" s="2191">
        <v>0</v>
      </c>
      <c r="T867" s="2192">
        <f>S867*H867</f>
        <v>0</v>
      </c>
      <c r="AR867" s="2193" t="s">
        <v>2894</v>
      </c>
      <c r="AT867" s="2193" t="s">
        <v>3286</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10857</v>
      </c>
    </row>
    <row r="868" spans="2:65" s="2070" customFormat="1" ht="37.9" customHeight="1">
      <c r="B868" s="2164"/>
      <c r="C868" s="4614" t="s">
        <v>4058</v>
      </c>
      <c r="D868" s="4614" t="s">
        <v>135</v>
      </c>
      <c r="E868" s="4615" t="s">
        <v>10858</v>
      </c>
      <c r="F868" s="4616" t="s">
        <v>10859</v>
      </c>
      <c r="G868" s="4617" t="s">
        <v>611</v>
      </c>
      <c r="H868" s="4618">
        <v>1151.1199999999999</v>
      </c>
      <c r="I868" s="4619"/>
      <c r="J868" s="4619">
        <f>ROUND(I868*H868,2)</f>
        <v>0</v>
      </c>
      <c r="K868" s="4616" t="s">
        <v>142</v>
      </c>
      <c r="L868" s="2223"/>
      <c r="M868" s="2224" t="s">
        <v>3146</v>
      </c>
      <c r="N868" s="2225" t="s">
        <v>3181</v>
      </c>
      <c r="O868" s="2191">
        <v>0</v>
      </c>
      <c r="P868" s="2191">
        <f>O868*H868</f>
        <v>0</v>
      </c>
      <c r="Q868" s="2191">
        <v>2.3E-3</v>
      </c>
      <c r="R868" s="2191">
        <f>Q868*H868</f>
        <v>2.6475759999999995</v>
      </c>
      <c r="S868" s="2191">
        <v>0</v>
      </c>
      <c r="T868" s="2192">
        <f>S868*H868</f>
        <v>0</v>
      </c>
      <c r="AR868" s="2193" t="s">
        <v>3389</v>
      </c>
      <c r="AT868" s="2193" t="s">
        <v>135</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10860</v>
      </c>
    </row>
    <row r="869" spans="2:65" s="2209" customFormat="1">
      <c r="B869" s="2210"/>
      <c r="D869" s="2197" t="s">
        <v>3303</v>
      </c>
      <c r="F869" s="2212" t="s">
        <v>10861</v>
      </c>
      <c r="H869" s="2213">
        <v>1151.1199999999999</v>
      </c>
      <c r="L869" s="2210"/>
      <c r="M869" s="2214"/>
      <c r="T869" s="2215"/>
      <c r="AT869" s="2211" t="s">
        <v>3303</v>
      </c>
      <c r="AU869" s="2211" t="s">
        <v>134</v>
      </c>
      <c r="AV869" s="2209" t="s">
        <v>134</v>
      </c>
      <c r="AW869" s="2209" t="s">
        <v>3148</v>
      </c>
      <c r="AX869" s="2209" t="s">
        <v>133</v>
      </c>
      <c r="AY869" s="2211" t="s">
        <v>3285</v>
      </c>
    </row>
    <row r="870" spans="2:65" s="2070" customFormat="1" ht="24.2" customHeight="1">
      <c r="B870" s="2164"/>
      <c r="C870" s="4608" t="s">
        <v>4062</v>
      </c>
      <c r="D870" s="4608" t="s">
        <v>3286</v>
      </c>
      <c r="E870" s="4609" t="s">
        <v>10862</v>
      </c>
      <c r="F870" s="4610" t="s">
        <v>10863</v>
      </c>
      <c r="G870" s="4611" t="s">
        <v>611</v>
      </c>
      <c r="H870" s="4612">
        <v>1044.0999999999999</v>
      </c>
      <c r="I870" s="4613"/>
      <c r="J870" s="4613">
        <f>ROUND(I870*H870,2)</f>
        <v>0</v>
      </c>
      <c r="K870" s="4610" t="s">
        <v>142</v>
      </c>
      <c r="L870" s="2071"/>
      <c r="M870" s="2190" t="s">
        <v>3146</v>
      </c>
      <c r="N870" s="2163" t="s">
        <v>3181</v>
      </c>
      <c r="O870" s="2191">
        <v>0.04</v>
      </c>
      <c r="P870" s="2191">
        <f>O870*H870</f>
        <v>41.763999999999996</v>
      </c>
      <c r="Q870" s="2191">
        <v>0</v>
      </c>
      <c r="R870" s="2191">
        <f>Q870*H870</f>
        <v>0</v>
      </c>
      <c r="S870" s="2191">
        <v>0</v>
      </c>
      <c r="T870" s="2192">
        <f>S870*H870</f>
        <v>0</v>
      </c>
      <c r="AR870" s="2193" t="s">
        <v>2894</v>
      </c>
      <c r="AT870" s="2193" t="s">
        <v>3286</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10864</v>
      </c>
    </row>
    <row r="871" spans="2:65" s="2070" customFormat="1" ht="24.2" customHeight="1">
      <c r="B871" s="2164"/>
      <c r="C871" s="4614" t="s">
        <v>4066</v>
      </c>
      <c r="D871" s="4614" t="s">
        <v>135</v>
      </c>
      <c r="E871" s="4615" t="s">
        <v>10865</v>
      </c>
      <c r="F871" s="4616" t="s">
        <v>10866</v>
      </c>
      <c r="G871" s="4617" t="s">
        <v>611</v>
      </c>
      <c r="H871" s="4618">
        <v>1148.51</v>
      </c>
      <c r="I871" s="4619"/>
      <c r="J871" s="4619">
        <f>ROUND(I871*H871,2)</f>
        <v>0</v>
      </c>
      <c r="K871" s="4616" t="s">
        <v>142</v>
      </c>
      <c r="L871" s="2223"/>
      <c r="M871" s="2224" t="s">
        <v>3146</v>
      </c>
      <c r="N871" s="2225" t="s">
        <v>3181</v>
      </c>
      <c r="O871" s="2191">
        <v>0</v>
      </c>
      <c r="P871" s="2191">
        <f>O871*H871</f>
        <v>0</v>
      </c>
      <c r="Q871" s="2191">
        <v>1.2999999999999999E-4</v>
      </c>
      <c r="R871" s="2191">
        <f>Q871*H871</f>
        <v>0.14930629999999998</v>
      </c>
      <c r="S871" s="2191">
        <v>0</v>
      </c>
      <c r="T871" s="2192">
        <f>S871*H871</f>
        <v>0</v>
      </c>
      <c r="AR871" s="2193" t="s">
        <v>3389</v>
      </c>
      <c r="AT871" s="2193" t="s">
        <v>135</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10867</v>
      </c>
    </row>
    <row r="872" spans="2:65" s="2209" customFormat="1">
      <c r="B872" s="2210"/>
      <c r="D872" s="2197" t="s">
        <v>3303</v>
      </c>
      <c r="F872" s="2212" t="s">
        <v>10868</v>
      </c>
      <c r="H872" s="2213">
        <v>1148.51</v>
      </c>
      <c r="L872" s="2210"/>
      <c r="M872" s="2214"/>
      <c r="T872" s="2215"/>
      <c r="AT872" s="2211" t="s">
        <v>3303</v>
      </c>
      <c r="AU872" s="2211" t="s">
        <v>134</v>
      </c>
      <c r="AV872" s="2209" t="s">
        <v>134</v>
      </c>
      <c r="AW872" s="2209" t="s">
        <v>3148</v>
      </c>
      <c r="AX872" s="2209" t="s">
        <v>133</v>
      </c>
      <c r="AY872" s="2211" t="s">
        <v>3285</v>
      </c>
    </row>
    <row r="873" spans="2:65" s="2070" customFormat="1" ht="33" customHeight="1">
      <c r="B873" s="2164"/>
      <c r="C873" s="4608" t="s">
        <v>4074</v>
      </c>
      <c r="D873" s="4608" t="s">
        <v>3286</v>
      </c>
      <c r="E873" s="4609" t="s">
        <v>10869</v>
      </c>
      <c r="F873" s="4610" t="s">
        <v>10870</v>
      </c>
      <c r="G873" s="4611" t="s">
        <v>611</v>
      </c>
      <c r="H873" s="4612">
        <v>1044.0999999999999</v>
      </c>
      <c r="I873" s="4613"/>
      <c r="J873" s="4613">
        <f>ROUND(I873*H873,2)</f>
        <v>0</v>
      </c>
      <c r="K873" s="4610" t="s">
        <v>142</v>
      </c>
      <c r="L873" s="2071"/>
      <c r="M873" s="2190" t="s">
        <v>3146</v>
      </c>
      <c r="N873" s="2163" t="s">
        <v>3181</v>
      </c>
      <c r="O873" s="2191">
        <v>0.14399999999999999</v>
      </c>
      <c r="P873" s="2191">
        <f>O873*H873</f>
        <v>150.35039999999998</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10871</v>
      </c>
    </row>
    <row r="874" spans="2:65" s="2070" customFormat="1" ht="24.2" customHeight="1">
      <c r="B874" s="2164"/>
      <c r="C874" s="4614" t="s">
        <v>4079</v>
      </c>
      <c r="D874" s="4614" t="s">
        <v>135</v>
      </c>
      <c r="E874" s="4615" t="s">
        <v>10872</v>
      </c>
      <c r="F874" s="4616" t="s">
        <v>10873</v>
      </c>
      <c r="G874" s="4617" t="s">
        <v>221</v>
      </c>
      <c r="H874" s="4618">
        <v>156.61500000000001</v>
      </c>
      <c r="I874" s="4619"/>
      <c r="J874" s="4619">
        <f>ROUND(I874*H874,2)</f>
        <v>0</v>
      </c>
      <c r="K874" s="4616" t="s">
        <v>142</v>
      </c>
      <c r="L874" s="2223"/>
      <c r="M874" s="2224" t="s">
        <v>3146</v>
      </c>
      <c r="N874" s="2225" t="s">
        <v>3181</v>
      </c>
      <c r="O874" s="2191">
        <v>0</v>
      </c>
      <c r="P874" s="2191">
        <f>O874*H874</f>
        <v>0</v>
      </c>
      <c r="Q874" s="2191">
        <v>0.75</v>
      </c>
      <c r="R874" s="2191">
        <f>Q874*H874</f>
        <v>117.46125000000001</v>
      </c>
      <c r="S874" s="2191">
        <v>0</v>
      </c>
      <c r="T874" s="2192">
        <f>S874*H874</f>
        <v>0</v>
      </c>
      <c r="AR874" s="2193" t="s">
        <v>3389</v>
      </c>
      <c r="AT874" s="2193" t="s">
        <v>135</v>
      </c>
      <c r="AU874" s="2193" t="s">
        <v>134</v>
      </c>
      <c r="AY874" s="2056" t="s">
        <v>3285</v>
      </c>
      <c r="BE874" s="2194">
        <f>IF(N874="základní",J874,0)</f>
        <v>0</v>
      </c>
      <c r="BF874" s="2194">
        <f>IF(N874="snížená",J874,0)</f>
        <v>0</v>
      </c>
      <c r="BG874" s="2194">
        <f>IF(N874="zákl. přenesená",J874,0)</f>
        <v>0</v>
      </c>
      <c r="BH874" s="2194">
        <f>IF(N874="sníž. přenesená",J874,0)</f>
        <v>0</v>
      </c>
      <c r="BI874" s="2194">
        <f>IF(N874="nulová",J874,0)</f>
        <v>0</v>
      </c>
      <c r="BJ874" s="2056" t="s">
        <v>134</v>
      </c>
      <c r="BK874" s="2194">
        <f>ROUND(I874*H874,2)</f>
        <v>0</v>
      </c>
      <c r="BL874" s="2056" t="s">
        <v>2894</v>
      </c>
      <c r="BM874" s="2193" t="s">
        <v>10874</v>
      </c>
    </row>
    <row r="875" spans="2:65" s="2209" customFormat="1">
      <c r="B875" s="2210"/>
      <c r="D875" s="2197" t="s">
        <v>3303</v>
      </c>
      <c r="F875" s="2212" t="s">
        <v>10875</v>
      </c>
      <c r="H875" s="2213">
        <v>156.61500000000001</v>
      </c>
      <c r="L875" s="2210"/>
      <c r="M875" s="2214"/>
      <c r="T875" s="2215"/>
      <c r="AT875" s="2211" t="s">
        <v>3303</v>
      </c>
      <c r="AU875" s="2211" t="s">
        <v>134</v>
      </c>
      <c r="AV875" s="2209" t="s">
        <v>134</v>
      </c>
      <c r="AW875" s="2209" t="s">
        <v>3148</v>
      </c>
      <c r="AX875" s="2209" t="s">
        <v>133</v>
      </c>
      <c r="AY875" s="2211" t="s">
        <v>3285</v>
      </c>
    </row>
    <row r="876" spans="2:65" s="2070" customFormat="1" ht="33" customHeight="1">
      <c r="B876" s="2164"/>
      <c r="C876" s="4608" t="s">
        <v>4086</v>
      </c>
      <c r="D876" s="4608" t="s">
        <v>3286</v>
      </c>
      <c r="E876" s="4609" t="s">
        <v>10876</v>
      </c>
      <c r="F876" s="4610" t="s">
        <v>10877</v>
      </c>
      <c r="G876" s="4611" t="s">
        <v>611</v>
      </c>
      <c r="H876" s="4612">
        <v>1044.0999999999999</v>
      </c>
      <c r="I876" s="4613"/>
      <c r="J876" s="4613">
        <f>ROUND(I876*H876,2)</f>
        <v>0</v>
      </c>
      <c r="K876" s="4610" t="s">
        <v>142</v>
      </c>
      <c r="L876" s="2071"/>
      <c r="M876" s="2190" t="s">
        <v>3146</v>
      </c>
      <c r="N876" s="2163" t="s">
        <v>3181</v>
      </c>
      <c r="O876" s="2191">
        <v>5.8000000000000003E-2</v>
      </c>
      <c r="P876" s="2191">
        <f>O876*H876</f>
        <v>60.5578</v>
      </c>
      <c r="Q876" s="2191">
        <v>0</v>
      </c>
      <c r="R876" s="2191">
        <f>Q876*H876</f>
        <v>0</v>
      </c>
      <c r="S876" s="2191">
        <v>0</v>
      </c>
      <c r="T876" s="2192">
        <f>S876*H876</f>
        <v>0</v>
      </c>
      <c r="AR876" s="2193" t="s">
        <v>2894</v>
      </c>
      <c r="AT876" s="2193" t="s">
        <v>3286</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10878</v>
      </c>
    </row>
    <row r="877" spans="2:65" s="2070" customFormat="1" ht="16.5" customHeight="1">
      <c r="B877" s="2164"/>
      <c r="C877" s="4614" t="s">
        <v>4090</v>
      </c>
      <c r="D877" s="4614" t="s">
        <v>135</v>
      </c>
      <c r="E877" s="4615" t="s">
        <v>10879</v>
      </c>
      <c r="F877" s="4616" t="s">
        <v>10880</v>
      </c>
      <c r="G877" s="4617" t="s">
        <v>611</v>
      </c>
      <c r="H877" s="4618">
        <v>1252.92</v>
      </c>
      <c r="I877" s="4619"/>
      <c r="J877" s="4619">
        <f>ROUND(I877*H877,2)</f>
        <v>0</v>
      </c>
      <c r="K877" s="4616" t="s">
        <v>142</v>
      </c>
      <c r="L877" s="2223"/>
      <c r="M877" s="2224" t="s">
        <v>3146</v>
      </c>
      <c r="N877" s="2225" t="s">
        <v>3181</v>
      </c>
      <c r="O877" s="2191">
        <v>0</v>
      </c>
      <c r="P877" s="2191">
        <f>O877*H877</f>
        <v>0</v>
      </c>
      <c r="Q877" s="2191">
        <v>4.0000000000000002E-4</v>
      </c>
      <c r="R877" s="2191">
        <f>Q877*H877</f>
        <v>0.50116800000000006</v>
      </c>
      <c r="S877" s="2191">
        <v>0</v>
      </c>
      <c r="T877" s="2192">
        <f>S877*H877</f>
        <v>0</v>
      </c>
      <c r="AR877" s="2193" t="s">
        <v>3389</v>
      </c>
      <c r="AT877" s="2193" t="s">
        <v>135</v>
      </c>
      <c r="AU877" s="2193" t="s">
        <v>134</v>
      </c>
      <c r="AY877" s="2056" t="s">
        <v>3285</v>
      </c>
      <c r="BE877" s="2194">
        <f>IF(N877="základní",J877,0)</f>
        <v>0</v>
      </c>
      <c r="BF877" s="2194">
        <f>IF(N877="snížená",J877,0)</f>
        <v>0</v>
      </c>
      <c r="BG877" s="2194">
        <f>IF(N877="zákl. přenesená",J877,0)</f>
        <v>0</v>
      </c>
      <c r="BH877" s="2194">
        <f>IF(N877="sníž. přenesená",J877,0)</f>
        <v>0</v>
      </c>
      <c r="BI877" s="2194">
        <f>IF(N877="nulová",J877,0)</f>
        <v>0</v>
      </c>
      <c r="BJ877" s="2056" t="s">
        <v>134</v>
      </c>
      <c r="BK877" s="2194">
        <f>ROUND(I877*H877,2)</f>
        <v>0</v>
      </c>
      <c r="BL877" s="2056" t="s">
        <v>2894</v>
      </c>
      <c r="BM877" s="2193" t="s">
        <v>10881</v>
      </c>
    </row>
    <row r="878" spans="2:65" s="2209" customFormat="1">
      <c r="B878" s="2210"/>
      <c r="D878" s="2197" t="s">
        <v>3303</v>
      </c>
      <c r="F878" s="2212" t="s">
        <v>10882</v>
      </c>
      <c r="H878" s="2213">
        <v>1252.92</v>
      </c>
      <c r="L878" s="2210"/>
      <c r="M878" s="2214"/>
      <c r="T878" s="2215"/>
      <c r="AT878" s="2211" t="s">
        <v>3303</v>
      </c>
      <c r="AU878" s="2211" t="s">
        <v>134</v>
      </c>
      <c r="AV878" s="2209" t="s">
        <v>134</v>
      </c>
      <c r="AW878" s="2209" t="s">
        <v>3148</v>
      </c>
      <c r="AX878" s="2209" t="s">
        <v>133</v>
      </c>
      <c r="AY878" s="2211" t="s">
        <v>3285</v>
      </c>
    </row>
    <row r="879" spans="2:65" s="2070" customFormat="1" ht="24.2" customHeight="1">
      <c r="B879" s="2164"/>
      <c r="C879" s="4608" t="s">
        <v>4095</v>
      </c>
      <c r="D879" s="4608" t="s">
        <v>3286</v>
      </c>
      <c r="E879" s="4609" t="s">
        <v>10883</v>
      </c>
      <c r="F879" s="4610" t="s">
        <v>10884</v>
      </c>
      <c r="G879" s="4611" t="s">
        <v>611</v>
      </c>
      <c r="H879" s="4612">
        <v>1006.1</v>
      </c>
      <c r="I879" s="4613"/>
      <c r="J879" s="4613">
        <f>ROUND(I879*H879,2)</f>
        <v>0</v>
      </c>
      <c r="K879" s="4610" t="s">
        <v>142</v>
      </c>
      <c r="L879" s="2071"/>
      <c r="M879" s="2190" t="s">
        <v>3146</v>
      </c>
      <c r="N879" s="2163" t="s">
        <v>3181</v>
      </c>
      <c r="O879" s="2191">
        <v>0.23799999999999999</v>
      </c>
      <c r="P879" s="2191">
        <f>O879*H879</f>
        <v>239.45179999999999</v>
      </c>
      <c r="Q879" s="2191">
        <v>0</v>
      </c>
      <c r="R879" s="2191">
        <f>Q879*H879</f>
        <v>0</v>
      </c>
      <c r="S879" s="2191">
        <v>0</v>
      </c>
      <c r="T879" s="2192">
        <f>S879*H879</f>
        <v>0</v>
      </c>
      <c r="AR879" s="2193" t="s">
        <v>2894</v>
      </c>
      <c r="AT879" s="2193" t="s">
        <v>3286</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10885</v>
      </c>
    </row>
    <row r="880" spans="2:65" s="2209" customFormat="1">
      <c r="B880" s="2210"/>
      <c r="D880" s="2197" t="s">
        <v>3303</v>
      </c>
      <c r="E880" s="2211" t="s">
        <v>3146</v>
      </c>
      <c r="F880" s="2212" t="s">
        <v>10886</v>
      </c>
      <c r="H880" s="2213">
        <v>1006.1</v>
      </c>
      <c r="L880" s="2210"/>
      <c r="M880" s="2214"/>
      <c r="T880" s="2215"/>
      <c r="AT880" s="2211" t="s">
        <v>3303</v>
      </c>
      <c r="AU880" s="2211" t="s">
        <v>134</v>
      </c>
      <c r="AV880" s="2209" t="s">
        <v>134</v>
      </c>
      <c r="AW880" s="2209" t="s">
        <v>3171</v>
      </c>
      <c r="AX880" s="2209" t="s">
        <v>133</v>
      </c>
      <c r="AY880" s="2211" t="s">
        <v>3285</v>
      </c>
    </row>
    <row r="881" spans="2:65" s="2070" customFormat="1" ht="16.5" customHeight="1">
      <c r="B881" s="2164"/>
      <c r="C881" s="4614" t="s">
        <v>4099</v>
      </c>
      <c r="D881" s="4614" t="s">
        <v>135</v>
      </c>
      <c r="E881" s="4615" t="s">
        <v>10887</v>
      </c>
      <c r="F881" s="4616" t="s">
        <v>10888</v>
      </c>
      <c r="G881" s="4617" t="s">
        <v>611</v>
      </c>
      <c r="H881" s="4618">
        <v>1157.0150000000001</v>
      </c>
      <c r="I881" s="4619"/>
      <c r="J881" s="4619">
        <f>ROUND(I881*H881,2)</f>
        <v>0</v>
      </c>
      <c r="K881" s="4616" t="s">
        <v>142</v>
      </c>
      <c r="L881" s="2223"/>
      <c r="M881" s="2224" t="s">
        <v>3146</v>
      </c>
      <c r="N881" s="2225" t="s">
        <v>3181</v>
      </c>
      <c r="O881" s="2191">
        <v>0</v>
      </c>
      <c r="P881" s="2191">
        <f>O881*H881</f>
        <v>0</v>
      </c>
      <c r="Q881" s="2191">
        <v>1.0999999999999999E-2</v>
      </c>
      <c r="R881" s="2191">
        <f>Q881*H881</f>
        <v>12.727165000000001</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10889</v>
      </c>
    </row>
    <row r="882" spans="2:65" s="2209" customFormat="1">
      <c r="B882" s="2210"/>
      <c r="D882" s="2197" t="s">
        <v>3303</v>
      </c>
      <c r="F882" s="2212" t="s">
        <v>10890</v>
      </c>
      <c r="H882" s="2213">
        <v>1157.0150000000001</v>
      </c>
      <c r="L882" s="2210"/>
      <c r="M882" s="2214"/>
      <c r="T882" s="2215"/>
      <c r="AT882" s="2211" t="s">
        <v>3303</v>
      </c>
      <c r="AU882" s="2211" t="s">
        <v>134</v>
      </c>
      <c r="AV882" s="2209" t="s">
        <v>134</v>
      </c>
      <c r="AW882" s="2209" t="s">
        <v>3148</v>
      </c>
      <c r="AX882" s="2209" t="s">
        <v>133</v>
      </c>
      <c r="AY882" s="2211" t="s">
        <v>3285</v>
      </c>
    </row>
    <row r="883" spans="2:65" s="2070" customFormat="1" ht="24.2" customHeight="1">
      <c r="B883" s="2164"/>
      <c r="C883" s="5561" t="s">
        <v>4105</v>
      </c>
      <c r="D883" s="4608" t="s">
        <v>3286</v>
      </c>
      <c r="E883" s="4609" t="s">
        <v>10891</v>
      </c>
      <c r="F883" s="4610" t="s">
        <v>10892</v>
      </c>
      <c r="G883" s="4611" t="s">
        <v>221</v>
      </c>
      <c r="H883" s="5568">
        <f>H884</f>
        <v>24.35</v>
      </c>
      <c r="I883" s="4613"/>
      <c r="J883" s="4613">
        <f>ROUND(I883*H883,2)</f>
        <v>0</v>
      </c>
      <c r="K883" s="4610" t="s">
        <v>142</v>
      </c>
      <c r="L883" s="2071"/>
      <c r="M883" s="2190" t="s">
        <v>3146</v>
      </c>
      <c r="N883" s="2163" t="s">
        <v>3181</v>
      </c>
      <c r="O883" s="2191">
        <v>0.8</v>
      </c>
      <c r="P883" s="2191">
        <f>O883*H883</f>
        <v>19.480000000000004</v>
      </c>
      <c r="Q883" s="2191">
        <v>0</v>
      </c>
      <c r="R883" s="2191">
        <f>Q883*H883</f>
        <v>0</v>
      </c>
      <c r="S883" s="2191">
        <v>0</v>
      </c>
      <c r="T883" s="2192">
        <f>S883*H883</f>
        <v>0</v>
      </c>
      <c r="AR883" s="2193" t="s">
        <v>2894</v>
      </c>
      <c r="AT883" s="2193" t="s">
        <v>3286</v>
      </c>
      <c r="AU883" s="2193" t="s">
        <v>134</v>
      </c>
      <c r="AY883" s="2056" t="s">
        <v>3285</v>
      </c>
      <c r="BE883" s="2194">
        <f>IF(N883="základní",J883,0)</f>
        <v>0</v>
      </c>
      <c r="BF883" s="2194">
        <f>IF(N883="snížená",J883,0)</f>
        <v>0</v>
      </c>
      <c r="BG883" s="2194">
        <f>IF(N883="zákl. přenesená",J883,0)</f>
        <v>0</v>
      </c>
      <c r="BH883" s="2194">
        <f>IF(N883="sníž. přenesená",J883,0)</f>
        <v>0</v>
      </c>
      <c r="BI883" s="2194">
        <f>IF(N883="nulová",J883,0)</f>
        <v>0</v>
      </c>
      <c r="BJ883" s="2056" t="s">
        <v>134</v>
      </c>
      <c r="BK883" s="2194">
        <f>ROUND(I883*H883,2)</f>
        <v>0</v>
      </c>
      <c r="BL883" s="2056" t="s">
        <v>2894</v>
      </c>
      <c r="BM883" s="2193" t="s">
        <v>10893</v>
      </c>
    </row>
    <row r="884" spans="2:65" s="2209" customFormat="1">
      <c r="B884" s="2210"/>
      <c r="D884" s="2197" t="s">
        <v>3303</v>
      </c>
      <c r="E884" s="2211" t="s">
        <v>3146</v>
      </c>
      <c r="F884" s="5560" t="s">
        <v>11708</v>
      </c>
      <c r="H884" s="5569">
        <f>(38+10.7)*0.5</f>
        <v>24.35</v>
      </c>
      <c r="L884" s="2210"/>
      <c r="M884" s="2214"/>
      <c r="T884" s="2215"/>
      <c r="AT884" s="2211" t="s">
        <v>3303</v>
      </c>
      <c r="AU884" s="2211" t="s">
        <v>134</v>
      </c>
      <c r="AV884" s="2209" t="s">
        <v>134</v>
      </c>
      <c r="AW884" s="2209" t="s">
        <v>3171</v>
      </c>
      <c r="AX884" s="2209" t="s">
        <v>133</v>
      </c>
      <c r="AY884" s="2211" t="s">
        <v>3285</v>
      </c>
    </row>
    <row r="885" spans="2:65" s="2070" customFormat="1" ht="16.5" customHeight="1">
      <c r="B885" s="2164"/>
      <c r="C885" s="5609" t="s">
        <v>4111</v>
      </c>
      <c r="D885" s="4614" t="s">
        <v>135</v>
      </c>
      <c r="E885" s="4615" t="s">
        <v>10894</v>
      </c>
      <c r="F885" s="4616" t="s">
        <v>10895</v>
      </c>
      <c r="G885" s="4617" t="s">
        <v>302</v>
      </c>
      <c r="H885" s="5610">
        <f>H886</f>
        <v>40.235940000000006</v>
      </c>
      <c r="I885" s="4619"/>
      <c r="J885" s="4619">
        <f>ROUND(I885*H885,2)</f>
        <v>0</v>
      </c>
      <c r="K885" s="4616" t="s">
        <v>142</v>
      </c>
      <c r="L885" s="2223"/>
      <c r="M885" s="2224" t="s">
        <v>3146</v>
      </c>
      <c r="N885" s="2225" t="s">
        <v>3181</v>
      </c>
      <c r="O885" s="2191">
        <v>0</v>
      </c>
      <c r="P885" s="2191">
        <f>O885*H885</f>
        <v>0</v>
      </c>
      <c r="Q885" s="2191">
        <v>1</v>
      </c>
      <c r="R885" s="2191">
        <f>Q885*H885</f>
        <v>40.235940000000006</v>
      </c>
      <c r="S885" s="2191">
        <v>0</v>
      </c>
      <c r="T885" s="2192">
        <f>S885*H885</f>
        <v>0</v>
      </c>
      <c r="AR885" s="2193" t="s">
        <v>3389</v>
      </c>
      <c r="AT885" s="2193" t="s">
        <v>135</v>
      </c>
      <c r="AU885" s="2193" t="s">
        <v>134</v>
      </c>
      <c r="AY885" s="2056" t="s">
        <v>3285</v>
      </c>
      <c r="BE885" s="2194">
        <f>IF(N885="základní",J885,0)</f>
        <v>0</v>
      </c>
      <c r="BF885" s="2194">
        <f>IF(N885="snížená",J885,0)</f>
        <v>0</v>
      </c>
      <c r="BG885" s="2194">
        <f>IF(N885="zákl. přenesená",J885,0)</f>
        <v>0</v>
      </c>
      <c r="BH885" s="2194">
        <f>IF(N885="sníž. přenesená",J885,0)</f>
        <v>0</v>
      </c>
      <c r="BI885" s="2194">
        <f>IF(N885="nulová",J885,0)</f>
        <v>0</v>
      </c>
      <c r="BJ885" s="2056" t="s">
        <v>134</v>
      </c>
      <c r="BK885" s="2194">
        <f>ROUND(I885*H885,2)</f>
        <v>0</v>
      </c>
      <c r="BL885" s="2056" t="s">
        <v>2894</v>
      </c>
      <c r="BM885" s="2193" t="s">
        <v>10896</v>
      </c>
    </row>
    <row r="886" spans="2:65" s="2209" customFormat="1">
      <c r="B886" s="2210"/>
      <c r="D886" s="2197" t="s">
        <v>3303</v>
      </c>
      <c r="F886" s="5560" t="s">
        <v>11709</v>
      </c>
      <c r="H886" s="5569">
        <f>24.35*1.6524</f>
        <v>40.235940000000006</v>
      </c>
      <c r="L886" s="2210"/>
      <c r="M886" s="2214"/>
      <c r="T886" s="2215"/>
      <c r="AT886" s="2211" t="s">
        <v>3303</v>
      </c>
      <c r="AU886" s="2211" t="s">
        <v>134</v>
      </c>
      <c r="AV886" s="2209" t="s">
        <v>134</v>
      </c>
      <c r="AW886" s="2209" t="s">
        <v>3148</v>
      </c>
      <c r="AX886" s="2209" t="s">
        <v>133</v>
      </c>
      <c r="AY886" s="2211" t="s">
        <v>3285</v>
      </c>
    </row>
    <row r="887" spans="2:65" s="2070" customFormat="1" ht="24.2" customHeight="1">
      <c r="B887" s="2164"/>
      <c r="C887" s="4608" t="s">
        <v>4115</v>
      </c>
      <c r="D887" s="4608" t="s">
        <v>3286</v>
      </c>
      <c r="E887" s="4609" t="s">
        <v>4709</v>
      </c>
      <c r="F887" s="4610" t="s">
        <v>4710</v>
      </c>
      <c r="G887" s="4611" t="s">
        <v>141</v>
      </c>
      <c r="H887" s="4612">
        <v>190</v>
      </c>
      <c r="I887" s="4613"/>
      <c r="J887" s="4613">
        <f>ROUND(I887*H887,2)</f>
        <v>0</v>
      </c>
      <c r="K887" s="4610" t="s">
        <v>142</v>
      </c>
      <c r="L887" s="2071"/>
      <c r="M887" s="2190" t="s">
        <v>3146</v>
      </c>
      <c r="N887" s="2163" t="s">
        <v>3181</v>
      </c>
      <c r="O887" s="2191">
        <v>8.8999999999999996E-2</v>
      </c>
      <c r="P887" s="2191">
        <f>O887*H887</f>
        <v>16.91</v>
      </c>
      <c r="Q887" s="2191">
        <v>2.0000000000000002E-5</v>
      </c>
      <c r="R887" s="2191">
        <f>Q887*H887</f>
        <v>3.8000000000000004E-3</v>
      </c>
      <c r="S887" s="2191">
        <v>0</v>
      </c>
      <c r="T887" s="2192">
        <f>S887*H887</f>
        <v>0</v>
      </c>
      <c r="AR887" s="2193" t="s">
        <v>2894</v>
      </c>
      <c r="AT887" s="2193" t="s">
        <v>3286</v>
      </c>
      <c r="AU887" s="2193" t="s">
        <v>134</v>
      </c>
      <c r="AY887" s="2056" t="s">
        <v>3285</v>
      </c>
      <c r="BE887" s="2194">
        <f>IF(N887="základní",J887,0)</f>
        <v>0</v>
      </c>
      <c r="BF887" s="2194">
        <f>IF(N887="snížená",J887,0)</f>
        <v>0</v>
      </c>
      <c r="BG887" s="2194">
        <f>IF(N887="zákl. přenesená",J887,0)</f>
        <v>0</v>
      </c>
      <c r="BH887" s="2194">
        <f>IF(N887="sníž. přenesená",J887,0)</f>
        <v>0</v>
      </c>
      <c r="BI887" s="2194">
        <f>IF(N887="nulová",J887,0)</f>
        <v>0</v>
      </c>
      <c r="BJ887" s="2056" t="s">
        <v>134</v>
      </c>
      <c r="BK887" s="2194">
        <f>ROUND(I887*H887,2)</f>
        <v>0</v>
      </c>
      <c r="BL887" s="2056" t="s">
        <v>2894</v>
      </c>
      <c r="BM887" s="2193" t="s">
        <v>10897</v>
      </c>
    </row>
    <row r="888" spans="2:65" s="2209" customFormat="1">
      <c r="B888" s="2210"/>
      <c r="D888" s="2197" t="s">
        <v>3303</v>
      </c>
      <c r="E888" s="2211" t="s">
        <v>3146</v>
      </c>
      <c r="F888" s="2212" t="s">
        <v>10898</v>
      </c>
      <c r="H888" s="2213">
        <v>190</v>
      </c>
      <c r="L888" s="2210"/>
      <c r="M888" s="2214"/>
      <c r="T888" s="2215"/>
      <c r="AT888" s="2211" t="s">
        <v>3303</v>
      </c>
      <c r="AU888" s="2211" t="s">
        <v>134</v>
      </c>
      <c r="AV888" s="2209" t="s">
        <v>134</v>
      </c>
      <c r="AW888" s="2209" t="s">
        <v>3171</v>
      </c>
      <c r="AX888" s="2209" t="s">
        <v>3213</v>
      </c>
      <c r="AY888" s="2211" t="s">
        <v>3285</v>
      </c>
    </row>
    <row r="889" spans="2:65" s="2216" customFormat="1">
      <c r="B889" s="2217"/>
      <c r="D889" s="2197" t="s">
        <v>3303</v>
      </c>
      <c r="E889" s="2218" t="s">
        <v>3146</v>
      </c>
      <c r="F889" s="2219" t="s">
        <v>3306</v>
      </c>
      <c r="H889" s="2220">
        <v>190</v>
      </c>
      <c r="L889" s="2217"/>
      <c r="M889" s="2221"/>
      <c r="T889" s="2222"/>
      <c r="AT889" s="2218" t="s">
        <v>3303</v>
      </c>
      <c r="AU889" s="2218" t="s">
        <v>134</v>
      </c>
      <c r="AV889" s="2216" t="s">
        <v>856</v>
      </c>
      <c r="AW889" s="2216" t="s">
        <v>3171</v>
      </c>
      <c r="AX889" s="2216" t="s">
        <v>133</v>
      </c>
      <c r="AY889" s="2218" t="s">
        <v>3285</v>
      </c>
    </row>
    <row r="890" spans="2:65" s="2070" customFormat="1" ht="16.5" customHeight="1">
      <c r="B890" s="2164"/>
      <c r="C890" s="4614" t="s">
        <v>4120</v>
      </c>
      <c r="D890" s="4614" t="s">
        <v>135</v>
      </c>
      <c r="E890" s="4615" t="s">
        <v>10899</v>
      </c>
      <c r="F890" s="4616" t="s">
        <v>10900</v>
      </c>
      <c r="G890" s="4617" t="s">
        <v>141</v>
      </c>
      <c r="H890" s="4618">
        <v>193.8</v>
      </c>
      <c r="I890" s="4619"/>
      <c r="J890" s="4619">
        <f>ROUND(I890*H890,2)</f>
        <v>0</v>
      </c>
      <c r="K890" s="4616" t="s">
        <v>142</v>
      </c>
      <c r="L890" s="2223"/>
      <c r="M890" s="2224" t="s">
        <v>3146</v>
      </c>
      <c r="N890" s="2225" t="s">
        <v>3181</v>
      </c>
      <c r="O890" s="2191">
        <v>0</v>
      </c>
      <c r="P890" s="2191">
        <f>O890*H890</f>
        <v>0</v>
      </c>
      <c r="Q890" s="2191">
        <v>5.0000000000000001E-4</v>
      </c>
      <c r="R890" s="2191">
        <f>Q890*H890</f>
        <v>9.6900000000000014E-2</v>
      </c>
      <c r="S890" s="2191">
        <v>0</v>
      </c>
      <c r="T890" s="2192">
        <f>S890*H890</f>
        <v>0</v>
      </c>
      <c r="AR890" s="2193" t="s">
        <v>3389</v>
      </c>
      <c r="AT890" s="2193" t="s">
        <v>135</v>
      </c>
      <c r="AU890" s="2193" t="s">
        <v>134</v>
      </c>
      <c r="AY890" s="2056" t="s">
        <v>3285</v>
      </c>
      <c r="BE890" s="2194">
        <f>IF(N890="základní",J890,0)</f>
        <v>0</v>
      </c>
      <c r="BF890" s="2194">
        <f>IF(N890="snížená",J890,0)</f>
        <v>0</v>
      </c>
      <c r="BG890" s="2194">
        <f>IF(N890="zákl. přenesená",J890,0)</f>
        <v>0</v>
      </c>
      <c r="BH890" s="2194">
        <f>IF(N890="sníž. přenesená",J890,0)</f>
        <v>0</v>
      </c>
      <c r="BI890" s="2194">
        <f>IF(N890="nulová",J890,0)</f>
        <v>0</v>
      </c>
      <c r="BJ890" s="2056" t="s">
        <v>134</v>
      </c>
      <c r="BK890" s="2194">
        <f>ROUND(I890*H890,2)</f>
        <v>0</v>
      </c>
      <c r="BL890" s="2056" t="s">
        <v>2894</v>
      </c>
      <c r="BM890" s="2193" t="s">
        <v>10901</v>
      </c>
    </row>
    <row r="891" spans="2:65" s="2209" customFormat="1">
      <c r="B891" s="2210"/>
      <c r="D891" s="2197" t="s">
        <v>3303</v>
      </c>
      <c r="F891" s="2212" t="s">
        <v>10902</v>
      </c>
      <c r="H891" s="2213">
        <v>193.8</v>
      </c>
      <c r="L891" s="2210"/>
      <c r="M891" s="2214"/>
      <c r="T891" s="2215"/>
      <c r="AT891" s="2211" t="s">
        <v>3303</v>
      </c>
      <c r="AU891" s="2211" t="s">
        <v>134</v>
      </c>
      <c r="AV891" s="2209" t="s">
        <v>134</v>
      </c>
      <c r="AW891" s="2209" t="s">
        <v>3148</v>
      </c>
      <c r="AX891" s="2209" t="s">
        <v>133</v>
      </c>
      <c r="AY891" s="2211" t="s">
        <v>3285</v>
      </c>
    </row>
    <row r="892" spans="2:65" s="2070" customFormat="1" ht="24.2" customHeight="1">
      <c r="B892" s="2164"/>
      <c r="C892" s="5561" t="s">
        <v>4127</v>
      </c>
      <c r="D892" s="4608" t="s">
        <v>3286</v>
      </c>
      <c r="E892" s="4609" t="s">
        <v>4344</v>
      </c>
      <c r="F892" s="4610" t="s">
        <v>4345</v>
      </c>
      <c r="G892" s="4611" t="s">
        <v>302</v>
      </c>
      <c r="H892" s="5568">
        <v>204.517</v>
      </c>
      <c r="I892" s="4613"/>
      <c r="J892" s="4613">
        <f>ROUND(I892*H892,2)</f>
        <v>0</v>
      </c>
      <c r="K892" s="4610" t="s">
        <v>142</v>
      </c>
      <c r="L892" s="2071"/>
      <c r="M892" s="2190" t="s">
        <v>3146</v>
      </c>
      <c r="N892" s="2163" t="s">
        <v>3181</v>
      </c>
      <c r="O892" s="2191">
        <v>1.6850000000000001</v>
      </c>
      <c r="P892" s="2191">
        <f>O892*H892</f>
        <v>344.61114500000002</v>
      </c>
      <c r="Q892" s="2191">
        <v>0</v>
      </c>
      <c r="R892" s="2191">
        <f>Q892*H892</f>
        <v>0</v>
      </c>
      <c r="S892" s="2191">
        <v>0</v>
      </c>
      <c r="T892" s="2192">
        <f>S892*H892</f>
        <v>0</v>
      </c>
      <c r="AR892" s="2193" t="s">
        <v>2894</v>
      </c>
      <c r="AT892" s="2193" t="s">
        <v>3286</v>
      </c>
      <c r="AU892" s="2193" t="s">
        <v>134</v>
      </c>
      <c r="AY892" s="2056" t="s">
        <v>3285</v>
      </c>
      <c r="BE892" s="2194">
        <f>IF(N892="základní",J892,0)</f>
        <v>0</v>
      </c>
      <c r="BF892" s="2194">
        <f>IF(N892="snížená",J892,0)</f>
        <v>0</v>
      </c>
      <c r="BG892" s="2194">
        <f>IF(N892="zákl. přenesená",J892,0)</f>
        <v>0</v>
      </c>
      <c r="BH892" s="2194">
        <f>IF(N892="sníž. přenesená",J892,0)</f>
        <v>0</v>
      </c>
      <c r="BI892" s="2194">
        <f>IF(N892="nulová",J892,0)</f>
        <v>0</v>
      </c>
      <c r="BJ892" s="2056" t="s">
        <v>134</v>
      </c>
      <c r="BK892" s="2194">
        <f>ROUND(I892*H892,2)</f>
        <v>0</v>
      </c>
      <c r="BL892" s="2056" t="s">
        <v>2894</v>
      </c>
      <c r="BM892" s="2193" t="s">
        <v>10903</v>
      </c>
    </row>
    <row r="893" spans="2:65" s="2070" customFormat="1" ht="24.2" customHeight="1">
      <c r="B893" s="2164"/>
      <c r="C893" s="5561" t="s">
        <v>4131</v>
      </c>
      <c r="D893" s="4608" t="s">
        <v>3286</v>
      </c>
      <c r="E893" s="4609" t="s">
        <v>4347</v>
      </c>
      <c r="F893" s="4610" t="s">
        <v>4348</v>
      </c>
      <c r="G893" s="4611" t="s">
        <v>302</v>
      </c>
      <c r="H893" s="5568">
        <v>204.517</v>
      </c>
      <c r="I893" s="4613"/>
      <c r="J893" s="4613">
        <f>ROUND(I893*H893,2)</f>
        <v>0</v>
      </c>
      <c r="K893" s="4610" t="s">
        <v>142</v>
      </c>
      <c r="L893" s="2071"/>
      <c r="M893" s="2190" t="s">
        <v>3146</v>
      </c>
      <c r="N893" s="2163" t="s">
        <v>3181</v>
      </c>
      <c r="O893" s="2191">
        <v>1.61</v>
      </c>
      <c r="P893" s="2191">
        <f>O893*H893</f>
        <v>329.27237000000002</v>
      </c>
      <c r="Q893" s="2191">
        <v>0</v>
      </c>
      <c r="R893" s="2191">
        <f>Q893*H893</f>
        <v>0</v>
      </c>
      <c r="S893" s="2191">
        <v>0</v>
      </c>
      <c r="T893" s="2192">
        <f>S893*H893</f>
        <v>0</v>
      </c>
      <c r="AR893" s="2193" t="s">
        <v>2894</v>
      </c>
      <c r="AT893" s="2193" t="s">
        <v>3286</v>
      </c>
      <c r="AU893" s="2193" t="s">
        <v>134</v>
      </c>
      <c r="AY893" s="2056" t="s">
        <v>3285</v>
      </c>
      <c r="BE893" s="2194">
        <f>IF(N893="základní",J893,0)</f>
        <v>0</v>
      </c>
      <c r="BF893" s="2194">
        <f>IF(N893="snížená",J893,0)</f>
        <v>0</v>
      </c>
      <c r="BG893" s="2194">
        <f>IF(N893="zákl. přenesená",J893,0)</f>
        <v>0</v>
      </c>
      <c r="BH893" s="2194">
        <f>IF(N893="sníž. přenesená",J893,0)</f>
        <v>0</v>
      </c>
      <c r="BI893" s="2194">
        <f>IF(N893="nulová",J893,0)</f>
        <v>0</v>
      </c>
      <c r="BJ893" s="2056" t="s">
        <v>134</v>
      </c>
      <c r="BK893" s="2194">
        <f>ROUND(I893*H893,2)</f>
        <v>0</v>
      </c>
      <c r="BL893" s="2056" t="s">
        <v>2894</v>
      </c>
      <c r="BM893" s="2193" t="s">
        <v>10904</v>
      </c>
    </row>
    <row r="894" spans="2:65" s="2178" customFormat="1" ht="22.9" customHeight="1">
      <c r="B894" s="2179"/>
      <c r="D894" s="2180" t="s">
        <v>3212</v>
      </c>
      <c r="E894" s="2188" t="s">
        <v>4007</v>
      </c>
      <c r="F894" s="2188" t="s">
        <v>4008</v>
      </c>
      <c r="J894" s="2189">
        <f>BK894</f>
        <v>0</v>
      </c>
      <c r="L894" s="2179"/>
      <c r="M894" s="2183"/>
      <c r="P894" s="2184">
        <f>SUM(P895:P984)</f>
        <v>1130.6891989999999</v>
      </c>
      <c r="R894" s="2184">
        <f>SUM(R895:R984)</f>
        <v>34.232292620000003</v>
      </c>
      <c r="T894" s="2185">
        <f>SUM(T895:T984)</f>
        <v>0</v>
      </c>
      <c r="AR894" s="2180" t="s">
        <v>134</v>
      </c>
      <c r="AT894" s="2186" t="s">
        <v>3212</v>
      </c>
      <c r="AU894" s="2186" t="s">
        <v>133</v>
      </c>
      <c r="AY894" s="2180" t="s">
        <v>3285</v>
      </c>
      <c r="BK894" s="2187">
        <f>SUM(BK895:BK984)</f>
        <v>0</v>
      </c>
    </row>
    <row r="895" spans="2:65" s="2070" customFormat="1" ht="24.2" customHeight="1">
      <c r="B895" s="2164"/>
      <c r="C895" s="4608" t="s">
        <v>4135</v>
      </c>
      <c r="D895" s="4608" t="s">
        <v>3286</v>
      </c>
      <c r="E895" s="4609" t="s">
        <v>10905</v>
      </c>
      <c r="F895" s="4610" t="s">
        <v>10906</v>
      </c>
      <c r="G895" s="4611" t="s">
        <v>611</v>
      </c>
      <c r="H895" s="4612">
        <v>530.99</v>
      </c>
      <c r="I895" s="4613"/>
      <c r="J895" s="4613">
        <f>ROUND(I895*H895,2)</f>
        <v>0</v>
      </c>
      <c r="K895" s="4610" t="s">
        <v>142</v>
      </c>
      <c r="L895" s="2071"/>
      <c r="M895" s="2190" t="s">
        <v>3146</v>
      </c>
      <c r="N895" s="2163" t="s">
        <v>3181</v>
      </c>
      <c r="O895" s="2191">
        <v>0.251</v>
      </c>
      <c r="P895" s="2191">
        <f>O895*H895</f>
        <v>133.27849000000001</v>
      </c>
      <c r="Q895" s="2191">
        <v>6.0000000000000001E-3</v>
      </c>
      <c r="R895" s="2191">
        <f>Q895*H895</f>
        <v>3.18594</v>
      </c>
      <c r="S895" s="2191">
        <v>0</v>
      </c>
      <c r="T895" s="2192">
        <f>S895*H895</f>
        <v>0</v>
      </c>
      <c r="AR895" s="2193" t="s">
        <v>2894</v>
      </c>
      <c r="AT895" s="2193" t="s">
        <v>3286</v>
      </c>
      <c r="AU895" s="2193" t="s">
        <v>134</v>
      </c>
      <c r="AY895" s="2056" t="s">
        <v>3285</v>
      </c>
      <c r="BE895" s="2194">
        <f>IF(N895="základní",J895,0)</f>
        <v>0</v>
      </c>
      <c r="BF895" s="2194">
        <f>IF(N895="snížená",J895,0)</f>
        <v>0</v>
      </c>
      <c r="BG895" s="2194">
        <f>IF(N895="zákl. přenesená",J895,0)</f>
        <v>0</v>
      </c>
      <c r="BH895" s="2194">
        <f>IF(N895="sníž. přenesená",J895,0)</f>
        <v>0</v>
      </c>
      <c r="BI895" s="2194">
        <f>IF(N895="nulová",J895,0)</f>
        <v>0</v>
      </c>
      <c r="BJ895" s="2056" t="s">
        <v>134</v>
      </c>
      <c r="BK895" s="2194">
        <f>ROUND(I895*H895,2)</f>
        <v>0</v>
      </c>
      <c r="BL895" s="2056" t="s">
        <v>2894</v>
      </c>
      <c r="BM895" s="2193" t="s">
        <v>10907</v>
      </c>
    </row>
    <row r="896" spans="2:65" s="2195" customFormat="1">
      <c r="B896" s="2196"/>
      <c r="D896" s="2197" t="s">
        <v>3303</v>
      </c>
      <c r="E896" s="2198" t="s">
        <v>3146</v>
      </c>
      <c r="F896" s="2199" t="s">
        <v>3517</v>
      </c>
      <c r="H896" s="2198" t="s">
        <v>3146</v>
      </c>
      <c r="L896" s="2196"/>
      <c r="M896" s="2200"/>
      <c r="T896" s="2201"/>
      <c r="AT896" s="2198" t="s">
        <v>3303</v>
      </c>
      <c r="AU896" s="2198" t="s">
        <v>134</v>
      </c>
      <c r="AV896" s="2195" t="s">
        <v>133</v>
      </c>
      <c r="AW896" s="2195" t="s">
        <v>3171</v>
      </c>
      <c r="AX896" s="2195" t="s">
        <v>3213</v>
      </c>
      <c r="AY896" s="2198" t="s">
        <v>3285</v>
      </c>
    </row>
    <row r="897" spans="2:65" s="2209" customFormat="1">
      <c r="B897" s="2210"/>
      <c r="D897" s="2197" t="s">
        <v>3303</v>
      </c>
      <c r="E897" s="2211" t="s">
        <v>3146</v>
      </c>
      <c r="F897" s="2212" t="s">
        <v>10908</v>
      </c>
      <c r="H897" s="2213">
        <v>530.99</v>
      </c>
      <c r="L897" s="2210"/>
      <c r="M897" s="2214"/>
      <c r="T897" s="2215"/>
      <c r="AT897" s="2211" t="s">
        <v>3303</v>
      </c>
      <c r="AU897" s="2211" t="s">
        <v>134</v>
      </c>
      <c r="AV897" s="2209" t="s">
        <v>134</v>
      </c>
      <c r="AW897" s="2209" t="s">
        <v>3171</v>
      </c>
      <c r="AX897" s="2209" t="s">
        <v>3213</v>
      </c>
      <c r="AY897" s="2211" t="s">
        <v>3285</v>
      </c>
    </row>
    <row r="898" spans="2:65" s="2216" customFormat="1">
      <c r="B898" s="2217"/>
      <c r="D898" s="2197" t="s">
        <v>3303</v>
      </c>
      <c r="E898" s="2218" t="s">
        <v>3146</v>
      </c>
      <c r="F898" s="2219" t="s">
        <v>3306</v>
      </c>
      <c r="H898" s="2220">
        <v>530.99</v>
      </c>
      <c r="L898" s="2217"/>
      <c r="M898" s="2221"/>
      <c r="T898" s="2222"/>
      <c r="AT898" s="2218" t="s">
        <v>3303</v>
      </c>
      <c r="AU898" s="2218" t="s">
        <v>134</v>
      </c>
      <c r="AV898" s="2216" t="s">
        <v>856</v>
      </c>
      <c r="AW898" s="2216" t="s">
        <v>3171</v>
      </c>
      <c r="AX898" s="2216" t="s">
        <v>133</v>
      </c>
      <c r="AY898" s="2218" t="s">
        <v>3285</v>
      </c>
    </row>
    <row r="899" spans="2:65" s="2070" customFormat="1" ht="37.9" customHeight="1">
      <c r="B899" s="2164"/>
      <c r="C899" s="4614" t="s">
        <v>4139</v>
      </c>
      <c r="D899" s="4614" t="s">
        <v>135</v>
      </c>
      <c r="E899" s="4615" t="s">
        <v>10909</v>
      </c>
      <c r="F899" s="4616" t="s">
        <v>10910</v>
      </c>
      <c r="G899" s="4617" t="s">
        <v>611</v>
      </c>
      <c r="H899" s="4618">
        <v>557.54</v>
      </c>
      <c r="I899" s="4619"/>
      <c r="J899" s="4619">
        <f>ROUND(I899*H899,2)</f>
        <v>0</v>
      </c>
      <c r="K899" s="4616" t="s">
        <v>142</v>
      </c>
      <c r="L899" s="2223"/>
      <c r="M899" s="2224" t="s">
        <v>3146</v>
      </c>
      <c r="N899" s="2225" t="s">
        <v>3181</v>
      </c>
      <c r="O899" s="2191">
        <v>0</v>
      </c>
      <c r="P899" s="2191">
        <f>O899*H899</f>
        <v>0</v>
      </c>
      <c r="Q899" s="2191">
        <v>2.4E-2</v>
      </c>
      <c r="R899" s="2191">
        <f>Q899*H899</f>
        <v>13.38096</v>
      </c>
      <c r="S899" s="2191">
        <v>0</v>
      </c>
      <c r="T899" s="2192">
        <f>S899*H899</f>
        <v>0</v>
      </c>
      <c r="AR899" s="2193" t="s">
        <v>3389</v>
      </c>
      <c r="AT899" s="2193" t="s">
        <v>135</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10911</v>
      </c>
    </row>
    <row r="900" spans="2:65" s="2209" customFormat="1">
      <c r="B900" s="2210"/>
      <c r="D900" s="2197" t="s">
        <v>3303</v>
      </c>
      <c r="F900" s="2212" t="s">
        <v>10912</v>
      </c>
      <c r="H900" s="2213">
        <v>557.54</v>
      </c>
      <c r="L900" s="2210"/>
      <c r="M900" s="2214"/>
      <c r="T900" s="2215"/>
      <c r="AT900" s="2211" t="s">
        <v>3303</v>
      </c>
      <c r="AU900" s="2211" t="s">
        <v>134</v>
      </c>
      <c r="AV900" s="2209" t="s">
        <v>134</v>
      </c>
      <c r="AW900" s="2209" t="s">
        <v>3148</v>
      </c>
      <c r="AX900" s="2209" t="s">
        <v>133</v>
      </c>
      <c r="AY900" s="2211" t="s">
        <v>3285</v>
      </c>
    </row>
    <row r="901" spans="2:65" s="2070" customFormat="1" ht="37.9" customHeight="1">
      <c r="B901" s="2164"/>
      <c r="C901" s="4608" t="s">
        <v>4143</v>
      </c>
      <c r="D901" s="4608" t="s">
        <v>3286</v>
      </c>
      <c r="E901" s="4609" t="s">
        <v>4010</v>
      </c>
      <c r="F901" s="4610" t="s">
        <v>4011</v>
      </c>
      <c r="G901" s="4611" t="s">
        <v>611</v>
      </c>
      <c r="H901" s="4612">
        <v>174.797</v>
      </c>
      <c r="I901" s="4613"/>
      <c r="J901" s="4613">
        <f>ROUND(I901*H901,2)</f>
        <v>0</v>
      </c>
      <c r="K901" s="4610" t="s">
        <v>142</v>
      </c>
      <c r="L901" s="2071"/>
      <c r="M901" s="2190" t="s">
        <v>3146</v>
      </c>
      <c r="N901" s="2163" t="s">
        <v>3181</v>
      </c>
      <c r="O901" s="2191">
        <v>0.311</v>
      </c>
      <c r="P901" s="2191">
        <f>O901*H901</f>
        <v>54.361866999999997</v>
      </c>
      <c r="Q901" s="2191">
        <v>6.0600000000000003E-3</v>
      </c>
      <c r="R901" s="2191">
        <f>Q901*H901</f>
        <v>1.0592698200000001</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4012</v>
      </c>
    </row>
    <row r="902" spans="2:65" s="2195" customFormat="1">
      <c r="B902" s="2196"/>
      <c r="D902" s="2197" t="s">
        <v>3303</v>
      </c>
      <c r="E902" s="2198" t="s">
        <v>3146</v>
      </c>
      <c r="F902" s="2199" t="s">
        <v>4013</v>
      </c>
      <c r="H902" s="2198" t="s">
        <v>3146</v>
      </c>
      <c r="L902" s="2196"/>
      <c r="M902" s="2200"/>
      <c r="T902" s="2201"/>
      <c r="AT902" s="2198" t="s">
        <v>3303</v>
      </c>
      <c r="AU902" s="2198" t="s">
        <v>134</v>
      </c>
      <c r="AV902" s="2195" t="s">
        <v>133</v>
      </c>
      <c r="AW902" s="2195" t="s">
        <v>3171</v>
      </c>
      <c r="AX902" s="2195" t="s">
        <v>3213</v>
      </c>
      <c r="AY902" s="2198" t="s">
        <v>3285</v>
      </c>
    </row>
    <row r="903" spans="2:65" s="2195" customFormat="1">
      <c r="B903" s="2196"/>
      <c r="D903" s="2197" t="s">
        <v>3303</v>
      </c>
      <c r="E903" s="2198" t="s">
        <v>3146</v>
      </c>
      <c r="F903" s="2199" t="s">
        <v>4014</v>
      </c>
      <c r="H903" s="2198" t="s">
        <v>3146</v>
      </c>
      <c r="L903" s="2196"/>
      <c r="M903" s="2200"/>
      <c r="T903" s="2201"/>
      <c r="AT903" s="2198" t="s">
        <v>3303</v>
      </c>
      <c r="AU903" s="2198" t="s">
        <v>134</v>
      </c>
      <c r="AV903" s="2195" t="s">
        <v>133</v>
      </c>
      <c r="AW903" s="2195" t="s">
        <v>3171</v>
      </c>
      <c r="AX903" s="2195" t="s">
        <v>3213</v>
      </c>
      <c r="AY903" s="2198" t="s">
        <v>3285</v>
      </c>
    </row>
    <row r="904" spans="2:65" s="2209" customFormat="1">
      <c r="B904" s="2210"/>
      <c r="D904" s="2197" t="s">
        <v>3303</v>
      </c>
      <c r="E904" s="2211" t="s">
        <v>3146</v>
      </c>
      <c r="F904" s="2212" t="s">
        <v>4015</v>
      </c>
      <c r="H904" s="2213">
        <v>73.516999999999996</v>
      </c>
      <c r="L904" s="2210"/>
      <c r="M904" s="2214"/>
      <c r="T904" s="2215"/>
      <c r="AT904" s="2211" t="s">
        <v>3303</v>
      </c>
      <c r="AU904" s="2211" t="s">
        <v>134</v>
      </c>
      <c r="AV904" s="2209" t="s">
        <v>134</v>
      </c>
      <c r="AW904" s="2209" t="s">
        <v>3171</v>
      </c>
      <c r="AX904" s="2209" t="s">
        <v>3213</v>
      </c>
      <c r="AY904" s="2211" t="s">
        <v>3285</v>
      </c>
    </row>
    <row r="905" spans="2:65" s="2195" customFormat="1">
      <c r="B905" s="2196"/>
      <c r="D905" s="2197" t="s">
        <v>3303</v>
      </c>
      <c r="E905" s="2198" t="s">
        <v>3146</v>
      </c>
      <c r="F905" s="2199" t="s">
        <v>4016</v>
      </c>
      <c r="H905" s="2198" t="s">
        <v>3146</v>
      </c>
      <c r="L905" s="2196"/>
      <c r="M905" s="2200"/>
      <c r="T905" s="2201"/>
      <c r="AT905" s="2198" t="s">
        <v>3303</v>
      </c>
      <c r="AU905" s="2198" t="s">
        <v>134</v>
      </c>
      <c r="AV905" s="2195" t="s">
        <v>133</v>
      </c>
      <c r="AW905" s="2195" t="s">
        <v>3171</v>
      </c>
      <c r="AX905" s="2195" t="s">
        <v>3213</v>
      </c>
      <c r="AY905" s="2198" t="s">
        <v>3285</v>
      </c>
    </row>
    <row r="906" spans="2:65" s="2209" customFormat="1">
      <c r="B906" s="2210"/>
      <c r="D906" s="2197" t="s">
        <v>3303</v>
      </c>
      <c r="E906" s="2211" t="s">
        <v>3146</v>
      </c>
      <c r="F906" s="2212" t="s">
        <v>4017</v>
      </c>
      <c r="H906" s="2213">
        <v>25.8</v>
      </c>
      <c r="L906" s="2210"/>
      <c r="M906" s="2214"/>
      <c r="T906" s="2215"/>
      <c r="AT906" s="2211" t="s">
        <v>3303</v>
      </c>
      <c r="AU906" s="2211" t="s">
        <v>134</v>
      </c>
      <c r="AV906" s="2209" t="s">
        <v>134</v>
      </c>
      <c r="AW906" s="2209" t="s">
        <v>3171</v>
      </c>
      <c r="AX906" s="2209" t="s">
        <v>3213</v>
      </c>
      <c r="AY906" s="2211" t="s">
        <v>3285</v>
      </c>
    </row>
    <row r="907" spans="2:65" s="2209" customFormat="1">
      <c r="B907" s="2210"/>
      <c r="D907" s="2197" t="s">
        <v>3303</v>
      </c>
      <c r="E907" s="2211" t="s">
        <v>3146</v>
      </c>
      <c r="F907" s="2212" t="s">
        <v>4018</v>
      </c>
      <c r="H907" s="2213">
        <v>73.5</v>
      </c>
      <c r="L907" s="2210"/>
      <c r="M907" s="2214"/>
      <c r="T907" s="2215"/>
      <c r="AT907" s="2211" t="s">
        <v>3303</v>
      </c>
      <c r="AU907" s="2211" t="s">
        <v>134</v>
      </c>
      <c r="AV907" s="2209" t="s">
        <v>134</v>
      </c>
      <c r="AW907" s="2209" t="s">
        <v>3171</v>
      </c>
      <c r="AX907" s="2209" t="s">
        <v>3213</v>
      </c>
      <c r="AY907" s="2211" t="s">
        <v>3285</v>
      </c>
    </row>
    <row r="908" spans="2:65" s="2209" customFormat="1">
      <c r="B908" s="2210"/>
      <c r="D908" s="2197" t="s">
        <v>3303</v>
      </c>
      <c r="E908" s="2211" t="s">
        <v>3146</v>
      </c>
      <c r="F908" s="2212" t="s">
        <v>3711</v>
      </c>
      <c r="H908" s="2213">
        <v>1.98</v>
      </c>
      <c r="L908" s="2210"/>
      <c r="M908" s="2214"/>
      <c r="T908" s="2215"/>
      <c r="AT908" s="2211" t="s">
        <v>3303</v>
      </c>
      <c r="AU908" s="2211" t="s">
        <v>134</v>
      </c>
      <c r="AV908" s="2209" t="s">
        <v>134</v>
      </c>
      <c r="AW908" s="2209" t="s">
        <v>3171</v>
      </c>
      <c r="AX908" s="2209" t="s">
        <v>3213</v>
      </c>
      <c r="AY908" s="2211" t="s">
        <v>3285</v>
      </c>
    </row>
    <row r="909" spans="2:65" s="2216" customFormat="1">
      <c r="B909" s="2217"/>
      <c r="D909" s="2197" t="s">
        <v>3303</v>
      </c>
      <c r="E909" s="2218" t="s">
        <v>3146</v>
      </c>
      <c r="F909" s="2219" t="s">
        <v>3306</v>
      </c>
      <c r="H909" s="2220">
        <v>174.797</v>
      </c>
      <c r="L909" s="2217"/>
      <c r="M909" s="2221"/>
      <c r="T909" s="2222"/>
      <c r="AT909" s="2218" t="s">
        <v>3303</v>
      </c>
      <c r="AU909" s="2218" t="s">
        <v>134</v>
      </c>
      <c r="AV909" s="2216" t="s">
        <v>856</v>
      </c>
      <c r="AW909" s="2216" t="s">
        <v>3171</v>
      </c>
      <c r="AX909" s="2216" t="s">
        <v>133</v>
      </c>
      <c r="AY909" s="2218" t="s">
        <v>3285</v>
      </c>
    </row>
    <row r="910" spans="2:65" s="2070" customFormat="1" ht="33" customHeight="1">
      <c r="B910" s="2164"/>
      <c r="C910" s="4614" t="s">
        <v>4147</v>
      </c>
      <c r="D910" s="4614" t="s">
        <v>135</v>
      </c>
      <c r="E910" s="4615" t="s">
        <v>4025</v>
      </c>
      <c r="F910" s="4616" t="s">
        <v>4026</v>
      </c>
      <c r="G910" s="4617" t="s">
        <v>611</v>
      </c>
      <c r="H910" s="4618">
        <v>77.192999999999998</v>
      </c>
      <c r="I910" s="4619"/>
      <c r="J910" s="4619">
        <f>ROUND(I910*H910,2)</f>
        <v>0</v>
      </c>
      <c r="K910" s="4616" t="s">
        <v>142</v>
      </c>
      <c r="L910" s="2223"/>
      <c r="M910" s="2224" t="s">
        <v>3146</v>
      </c>
      <c r="N910" s="2225" t="s">
        <v>3181</v>
      </c>
      <c r="O910" s="2191">
        <v>0</v>
      </c>
      <c r="P910" s="2191">
        <f>O910*H910</f>
        <v>0</v>
      </c>
      <c r="Q910" s="2191">
        <v>2.1000000000000001E-2</v>
      </c>
      <c r="R910" s="2191">
        <f>Q910*H910</f>
        <v>1.6210530000000001</v>
      </c>
      <c r="S910" s="2191">
        <v>0</v>
      </c>
      <c r="T910" s="2192">
        <f>S910*H910</f>
        <v>0</v>
      </c>
      <c r="AR910" s="2193" t="s">
        <v>3389</v>
      </c>
      <c r="AT910" s="2193" t="s">
        <v>135</v>
      </c>
      <c r="AU910" s="2193" t="s">
        <v>134</v>
      </c>
      <c r="AY910" s="2056" t="s">
        <v>3285</v>
      </c>
      <c r="BE910" s="2194">
        <f>IF(N910="základní",J910,0)</f>
        <v>0</v>
      </c>
      <c r="BF910" s="2194">
        <f>IF(N910="snížená",J910,0)</f>
        <v>0</v>
      </c>
      <c r="BG910" s="2194">
        <f>IF(N910="zákl. přenesená",J910,0)</f>
        <v>0</v>
      </c>
      <c r="BH910" s="2194">
        <f>IF(N910="sníž. přenesená",J910,0)</f>
        <v>0</v>
      </c>
      <c r="BI910" s="2194">
        <f>IF(N910="nulová",J910,0)</f>
        <v>0</v>
      </c>
      <c r="BJ910" s="2056" t="s">
        <v>134</v>
      </c>
      <c r="BK910" s="2194">
        <f>ROUND(I910*H910,2)</f>
        <v>0</v>
      </c>
      <c r="BL910" s="2056" t="s">
        <v>2894</v>
      </c>
      <c r="BM910" s="2193" t="s">
        <v>4027</v>
      </c>
    </row>
    <row r="911" spans="2:65" s="2195" customFormat="1">
      <c r="B911" s="2196"/>
      <c r="D911" s="2197" t="s">
        <v>3303</v>
      </c>
      <c r="E911" s="2198" t="s">
        <v>3146</v>
      </c>
      <c r="F911" s="2199" t="s">
        <v>4013</v>
      </c>
      <c r="H911" s="2198" t="s">
        <v>3146</v>
      </c>
      <c r="L911" s="2196"/>
      <c r="M911" s="2200"/>
      <c r="T911" s="2201"/>
      <c r="AT911" s="2198" t="s">
        <v>3303</v>
      </c>
      <c r="AU911" s="2198" t="s">
        <v>134</v>
      </c>
      <c r="AV911" s="2195" t="s">
        <v>133</v>
      </c>
      <c r="AW911" s="2195" t="s">
        <v>3171</v>
      </c>
      <c r="AX911" s="2195" t="s">
        <v>3213</v>
      </c>
      <c r="AY911" s="2198" t="s">
        <v>3285</v>
      </c>
    </row>
    <row r="912" spans="2:65" s="2195" customFormat="1">
      <c r="B912" s="2196"/>
      <c r="D912" s="2197" t="s">
        <v>3303</v>
      </c>
      <c r="E912" s="2198" t="s">
        <v>3146</v>
      </c>
      <c r="F912" s="2199" t="s">
        <v>4014</v>
      </c>
      <c r="H912" s="2198" t="s">
        <v>3146</v>
      </c>
      <c r="L912" s="2196"/>
      <c r="M912" s="2200"/>
      <c r="T912" s="2201"/>
      <c r="AT912" s="2198" t="s">
        <v>3303</v>
      </c>
      <c r="AU912" s="2198" t="s">
        <v>134</v>
      </c>
      <c r="AV912" s="2195" t="s">
        <v>133</v>
      </c>
      <c r="AW912" s="2195" t="s">
        <v>3171</v>
      </c>
      <c r="AX912" s="2195" t="s">
        <v>3213</v>
      </c>
      <c r="AY912" s="2198" t="s">
        <v>3285</v>
      </c>
    </row>
    <row r="913" spans="2:65" s="2209" customFormat="1">
      <c r="B913" s="2210"/>
      <c r="D913" s="2197" t="s">
        <v>3303</v>
      </c>
      <c r="E913" s="2211" t="s">
        <v>3146</v>
      </c>
      <c r="F913" s="2212" t="s">
        <v>4015</v>
      </c>
      <c r="H913" s="2213">
        <v>73.516999999999996</v>
      </c>
      <c r="L913" s="2210"/>
      <c r="M913" s="2214"/>
      <c r="T913" s="2215"/>
      <c r="AT913" s="2211" t="s">
        <v>3303</v>
      </c>
      <c r="AU913" s="2211" t="s">
        <v>134</v>
      </c>
      <c r="AV913" s="2209" t="s">
        <v>134</v>
      </c>
      <c r="AW913" s="2209" t="s">
        <v>3171</v>
      </c>
      <c r="AX913" s="2209" t="s">
        <v>3213</v>
      </c>
      <c r="AY913" s="2211" t="s">
        <v>3285</v>
      </c>
    </row>
    <row r="914" spans="2:65" s="2216" customFormat="1">
      <c r="B914" s="2217"/>
      <c r="D914" s="2197" t="s">
        <v>3303</v>
      </c>
      <c r="E914" s="2218" t="s">
        <v>3146</v>
      </c>
      <c r="F914" s="2219" t="s">
        <v>3306</v>
      </c>
      <c r="H914" s="2220">
        <v>73.516999999999996</v>
      </c>
      <c r="L914" s="2217"/>
      <c r="M914" s="2221"/>
      <c r="T914" s="2222"/>
      <c r="AT914" s="2218" t="s">
        <v>3303</v>
      </c>
      <c r="AU914" s="2218" t="s">
        <v>134</v>
      </c>
      <c r="AV914" s="2216" t="s">
        <v>856</v>
      </c>
      <c r="AW914" s="2216" t="s">
        <v>3171</v>
      </c>
      <c r="AX914" s="2216" t="s">
        <v>133</v>
      </c>
      <c r="AY914" s="2218" t="s">
        <v>3285</v>
      </c>
    </row>
    <row r="915" spans="2:65" s="2209" customFormat="1">
      <c r="B915" s="2210"/>
      <c r="D915" s="2197" t="s">
        <v>3303</v>
      </c>
      <c r="F915" s="2212" t="s">
        <v>4028</v>
      </c>
      <c r="H915" s="2213">
        <v>77.192999999999998</v>
      </c>
      <c r="L915" s="2210"/>
      <c r="M915" s="2214"/>
      <c r="T915" s="2215"/>
      <c r="AT915" s="2211" t="s">
        <v>3303</v>
      </c>
      <c r="AU915" s="2211" t="s">
        <v>134</v>
      </c>
      <c r="AV915" s="2209" t="s">
        <v>134</v>
      </c>
      <c r="AW915" s="2209" t="s">
        <v>3148</v>
      </c>
      <c r="AX915" s="2209" t="s">
        <v>133</v>
      </c>
      <c r="AY915" s="2211" t="s">
        <v>3285</v>
      </c>
    </row>
    <row r="916" spans="2:65" s="2070" customFormat="1" ht="37.9" customHeight="1">
      <c r="B916" s="2164"/>
      <c r="C916" s="4608" t="s">
        <v>4151</v>
      </c>
      <c r="D916" s="4608" t="s">
        <v>3286</v>
      </c>
      <c r="E916" s="4609" t="s">
        <v>4010</v>
      </c>
      <c r="F916" s="4610" t="s">
        <v>4011</v>
      </c>
      <c r="G916" s="4611" t="s">
        <v>611</v>
      </c>
      <c r="H916" s="4612">
        <v>101.28</v>
      </c>
      <c r="I916" s="4613"/>
      <c r="J916" s="4613">
        <f>ROUND(I916*H916,2)</f>
        <v>0</v>
      </c>
      <c r="K916" s="4610" t="s">
        <v>142</v>
      </c>
      <c r="L916" s="2071"/>
      <c r="M916" s="2190" t="s">
        <v>3146</v>
      </c>
      <c r="N916" s="2163" t="s">
        <v>3181</v>
      </c>
      <c r="O916" s="2191">
        <v>0.311</v>
      </c>
      <c r="P916" s="2191">
        <f>O916*H916</f>
        <v>31.498080000000002</v>
      </c>
      <c r="Q916" s="2191">
        <v>6.0600000000000003E-3</v>
      </c>
      <c r="R916" s="2191">
        <f>Q916*H916</f>
        <v>0.61375679999999999</v>
      </c>
      <c r="S916" s="2191">
        <v>0</v>
      </c>
      <c r="T916" s="2192">
        <f>S916*H916</f>
        <v>0</v>
      </c>
      <c r="AR916" s="2193" t="s">
        <v>2894</v>
      </c>
      <c r="AT916" s="2193" t="s">
        <v>3286</v>
      </c>
      <c r="AU916" s="2193" t="s">
        <v>134</v>
      </c>
      <c r="AY916" s="2056" t="s">
        <v>3285</v>
      </c>
      <c r="BE916" s="2194">
        <f>IF(N916="základní",J916,0)</f>
        <v>0</v>
      </c>
      <c r="BF916" s="2194">
        <f>IF(N916="snížená",J916,0)</f>
        <v>0</v>
      </c>
      <c r="BG916" s="2194">
        <f>IF(N916="zákl. přenesená",J916,0)</f>
        <v>0</v>
      </c>
      <c r="BH916" s="2194">
        <f>IF(N916="sníž. přenesená",J916,0)</f>
        <v>0</v>
      </c>
      <c r="BI916" s="2194">
        <f>IF(N916="nulová",J916,0)</f>
        <v>0</v>
      </c>
      <c r="BJ916" s="2056" t="s">
        <v>134</v>
      </c>
      <c r="BK916" s="2194">
        <f>ROUND(I916*H916,2)</f>
        <v>0</v>
      </c>
      <c r="BL916" s="2056" t="s">
        <v>2894</v>
      </c>
      <c r="BM916" s="2193" t="s">
        <v>4030</v>
      </c>
    </row>
    <row r="917" spans="2:65" s="2195" customFormat="1">
      <c r="B917" s="2196"/>
      <c r="D917" s="2197" t="s">
        <v>3303</v>
      </c>
      <c r="E917" s="2198" t="s">
        <v>3146</v>
      </c>
      <c r="F917" s="2199" t="s">
        <v>4031</v>
      </c>
      <c r="H917" s="2198" t="s">
        <v>3146</v>
      </c>
      <c r="L917" s="2196"/>
      <c r="M917" s="2200"/>
      <c r="T917" s="2201"/>
      <c r="AT917" s="2198" t="s">
        <v>3303</v>
      </c>
      <c r="AU917" s="2198" t="s">
        <v>134</v>
      </c>
      <c r="AV917" s="2195" t="s">
        <v>133</v>
      </c>
      <c r="AW917" s="2195" t="s">
        <v>3171</v>
      </c>
      <c r="AX917" s="2195" t="s">
        <v>3213</v>
      </c>
      <c r="AY917" s="2198" t="s">
        <v>3285</v>
      </c>
    </row>
    <row r="918" spans="2:65" s="2209" customFormat="1">
      <c r="B918" s="2210"/>
      <c r="D918" s="2197" t="s">
        <v>3303</v>
      </c>
      <c r="E918" s="2211" t="s">
        <v>3146</v>
      </c>
      <c r="F918" s="2212" t="s">
        <v>4017</v>
      </c>
      <c r="H918" s="2213">
        <v>25.8</v>
      </c>
      <c r="L918" s="2210"/>
      <c r="M918" s="2214"/>
      <c r="T918" s="2215"/>
      <c r="AT918" s="2211" t="s">
        <v>3303</v>
      </c>
      <c r="AU918" s="2211" t="s">
        <v>134</v>
      </c>
      <c r="AV918" s="2209" t="s">
        <v>134</v>
      </c>
      <c r="AW918" s="2209" t="s">
        <v>3171</v>
      </c>
      <c r="AX918" s="2209" t="s">
        <v>3213</v>
      </c>
      <c r="AY918" s="2211" t="s">
        <v>3285</v>
      </c>
    </row>
    <row r="919" spans="2:65" s="2209" customFormat="1">
      <c r="B919" s="2210"/>
      <c r="D919" s="2197" t="s">
        <v>3303</v>
      </c>
      <c r="E919" s="2211" t="s">
        <v>3146</v>
      </c>
      <c r="F919" s="2212" t="s">
        <v>4018</v>
      </c>
      <c r="H919" s="2213">
        <v>73.5</v>
      </c>
      <c r="L919" s="2210"/>
      <c r="M919" s="2214"/>
      <c r="T919" s="2215"/>
      <c r="AT919" s="2211" t="s">
        <v>3303</v>
      </c>
      <c r="AU919" s="2211" t="s">
        <v>134</v>
      </c>
      <c r="AV919" s="2209" t="s">
        <v>134</v>
      </c>
      <c r="AW919" s="2209" t="s">
        <v>3171</v>
      </c>
      <c r="AX919" s="2209" t="s">
        <v>3213</v>
      </c>
      <c r="AY919" s="2211" t="s">
        <v>3285</v>
      </c>
    </row>
    <row r="920" spans="2:65" s="2209" customFormat="1">
      <c r="B920" s="2210"/>
      <c r="D920" s="2197" t="s">
        <v>3303</v>
      </c>
      <c r="E920" s="2211" t="s">
        <v>3146</v>
      </c>
      <c r="F920" s="2212" t="s">
        <v>3711</v>
      </c>
      <c r="H920" s="2213">
        <v>1.98</v>
      </c>
      <c r="L920" s="2210"/>
      <c r="M920" s="2214"/>
      <c r="T920" s="2215"/>
      <c r="AT920" s="2211" t="s">
        <v>3303</v>
      </c>
      <c r="AU920" s="2211" t="s">
        <v>134</v>
      </c>
      <c r="AV920" s="2209" t="s">
        <v>134</v>
      </c>
      <c r="AW920" s="2209" t="s">
        <v>3171</v>
      </c>
      <c r="AX920" s="2209" t="s">
        <v>3213</v>
      </c>
      <c r="AY920" s="2211" t="s">
        <v>3285</v>
      </c>
    </row>
    <row r="921" spans="2:65" s="2216" customFormat="1">
      <c r="B921" s="2217"/>
      <c r="D921" s="2197" t="s">
        <v>3303</v>
      </c>
      <c r="E921" s="2218" t="s">
        <v>3146</v>
      </c>
      <c r="F921" s="2219" t="s">
        <v>3306</v>
      </c>
      <c r="H921" s="2220">
        <v>101.28</v>
      </c>
      <c r="L921" s="2217"/>
      <c r="M921" s="2221"/>
      <c r="T921" s="2222"/>
      <c r="AT921" s="2218" t="s">
        <v>3303</v>
      </c>
      <c r="AU921" s="2218" t="s">
        <v>134</v>
      </c>
      <c r="AV921" s="2216" t="s">
        <v>856</v>
      </c>
      <c r="AW921" s="2216" t="s">
        <v>3171</v>
      </c>
      <c r="AX921" s="2216" t="s">
        <v>133</v>
      </c>
      <c r="AY921" s="2218" t="s">
        <v>3285</v>
      </c>
    </row>
    <row r="922" spans="2:65" s="2070" customFormat="1" ht="24.2" customHeight="1">
      <c r="B922" s="2164"/>
      <c r="C922" s="4614" t="s">
        <v>4155</v>
      </c>
      <c r="D922" s="4614" t="s">
        <v>135</v>
      </c>
      <c r="E922" s="4615" t="s">
        <v>4020</v>
      </c>
      <c r="F922" s="4616" t="s">
        <v>4021</v>
      </c>
      <c r="G922" s="4617" t="s">
        <v>611</v>
      </c>
      <c r="H922" s="4618">
        <v>106.34399999999999</v>
      </c>
      <c r="I922" s="4619"/>
      <c r="J922" s="4619">
        <f>ROUND(I922*H922,2)</f>
        <v>0</v>
      </c>
      <c r="K922" s="4616" t="s">
        <v>142</v>
      </c>
      <c r="L922" s="2223"/>
      <c r="M922" s="2224" t="s">
        <v>3146</v>
      </c>
      <c r="N922" s="2225" t="s">
        <v>3181</v>
      </c>
      <c r="O922" s="2191">
        <v>0</v>
      </c>
      <c r="P922" s="2191">
        <f>O922*H922</f>
        <v>0</v>
      </c>
      <c r="Q922" s="2191">
        <v>2.8E-3</v>
      </c>
      <c r="R922" s="2191">
        <f>Q922*H922</f>
        <v>0.29776320000000001</v>
      </c>
      <c r="S922" s="2191">
        <v>0</v>
      </c>
      <c r="T922" s="2192">
        <f>S922*H922</f>
        <v>0</v>
      </c>
      <c r="AR922" s="2193" t="s">
        <v>3389</v>
      </c>
      <c r="AT922" s="2193" t="s">
        <v>135</v>
      </c>
      <c r="AU922" s="2193" t="s">
        <v>134</v>
      </c>
      <c r="AY922" s="2056" t="s">
        <v>3285</v>
      </c>
      <c r="BE922" s="2194">
        <f>IF(N922="základní",J922,0)</f>
        <v>0</v>
      </c>
      <c r="BF922" s="2194">
        <f>IF(N922="snížená",J922,0)</f>
        <v>0</v>
      </c>
      <c r="BG922" s="2194">
        <f>IF(N922="zákl. přenesená",J922,0)</f>
        <v>0</v>
      </c>
      <c r="BH922" s="2194">
        <f>IF(N922="sníž. přenesená",J922,0)</f>
        <v>0</v>
      </c>
      <c r="BI922" s="2194">
        <f>IF(N922="nulová",J922,0)</f>
        <v>0</v>
      </c>
      <c r="BJ922" s="2056" t="s">
        <v>134</v>
      </c>
      <c r="BK922" s="2194">
        <f>ROUND(I922*H922,2)</f>
        <v>0</v>
      </c>
      <c r="BL922" s="2056" t="s">
        <v>2894</v>
      </c>
      <c r="BM922" s="2193" t="s">
        <v>4022</v>
      </c>
    </row>
    <row r="923" spans="2:65" s="2195" customFormat="1">
      <c r="B923" s="2196"/>
      <c r="D923" s="2197" t="s">
        <v>3303</v>
      </c>
      <c r="E923" s="2198" t="s">
        <v>3146</v>
      </c>
      <c r="F923" s="2199" t="s">
        <v>4016</v>
      </c>
      <c r="H923" s="2198" t="s">
        <v>3146</v>
      </c>
      <c r="L923" s="2196"/>
      <c r="M923" s="2200"/>
      <c r="T923" s="2201"/>
      <c r="AT923" s="2198" t="s">
        <v>3303</v>
      </c>
      <c r="AU923" s="2198" t="s">
        <v>134</v>
      </c>
      <c r="AV923" s="2195" t="s">
        <v>133</v>
      </c>
      <c r="AW923" s="2195" t="s">
        <v>3171</v>
      </c>
      <c r="AX923" s="2195" t="s">
        <v>3213</v>
      </c>
      <c r="AY923" s="2198" t="s">
        <v>3285</v>
      </c>
    </row>
    <row r="924" spans="2:65" s="2209" customFormat="1">
      <c r="B924" s="2210"/>
      <c r="D924" s="2197" t="s">
        <v>3303</v>
      </c>
      <c r="E924" s="2211" t="s">
        <v>3146</v>
      </c>
      <c r="F924" s="2212" t="s">
        <v>4017</v>
      </c>
      <c r="H924" s="2213">
        <v>25.8</v>
      </c>
      <c r="L924" s="2210"/>
      <c r="M924" s="2214"/>
      <c r="T924" s="2215"/>
      <c r="AT924" s="2211" t="s">
        <v>3303</v>
      </c>
      <c r="AU924" s="2211" t="s">
        <v>134</v>
      </c>
      <c r="AV924" s="2209" t="s">
        <v>134</v>
      </c>
      <c r="AW924" s="2209" t="s">
        <v>3171</v>
      </c>
      <c r="AX924" s="2209" t="s">
        <v>3213</v>
      </c>
      <c r="AY924" s="2211" t="s">
        <v>3285</v>
      </c>
    </row>
    <row r="925" spans="2:65" s="2209" customFormat="1">
      <c r="B925" s="2210"/>
      <c r="D925" s="2197" t="s">
        <v>3303</v>
      </c>
      <c r="E925" s="2211" t="s">
        <v>3146</v>
      </c>
      <c r="F925" s="2212" t="s">
        <v>4018</v>
      </c>
      <c r="H925" s="2213">
        <v>73.5</v>
      </c>
      <c r="L925" s="2210"/>
      <c r="M925" s="2214"/>
      <c r="T925" s="2215"/>
      <c r="AT925" s="2211" t="s">
        <v>3303</v>
      </c>
      <c r="AU925" s="2211" t="s">
        <v>134</v>
      </c>
      <c r="AV925" s="2209" t="s">
        <v>134</v>
      </c>
      <c r="AW925" s="2209" t="s">
        <v>3171</v>
      </c>
      <c r="AX925" s="2209" t="s">
        <v>3213</v>
      </c>
      <c r="AY925" s="2211" t="s">
        <v>3285</v>
      </c>
    </row>
    <row r="926" spans="2:65" s="2209" customFormat="1">
      <c r="B926" s="2210"/>
      <c r="D926" s="2197" t="s">
        <v>3303</v>
      </c>
      <c r="E926" s="2211" t="s">
        <v>3146</v>
      </c>
      <c r="F926" s="2212" t="s">
        <v>3711</v>
      </c>
      <c r="H926" s="2213">
        <v>1.98</v>
      </c>
      <c r="L926" s="2210"/>
      <c r="M926" s="2214"/>
      <c r="T926" s="2215"/>
      <c r="AT926" s="2211" t="s">
        <v>3303</v>
      </c>
      <c r="AU926" s="2211" t="s">
        <v>134</v>
      </c>
      <c r="AV926" s="2209" t="s">
        <v>134</v>
      </c>
      <c r="AW926" s="2209" t="s">
        <v>3171</v>
      </c>
      <c r="AX926" s="2209" t="s">
        <v>3213</v>
      </c>
      <c r="AY926" s="2211" t="s">
        <v>3285</v>
      </c>
    </row>
    <row r="927" spans="2:65" s="2216" customFormat="1">
      <c r="B927" s="2217"/>
      <c r="D927" s="2197" t="s">
        <v>3303</v>
      </c>
      <c r="E927" s="2218" t="s">
        <v>3146</v>
      </c>
      <c r="F927" s="2219" t="s">
        <v>3306</v>
      </c>
      <c r="H927" s="2220">
        <v>101.28</v>
      </c>
      <c r="L927" s="2217"/>
      <c r="M927" s="2221"/>
      <c r="T927" s="2222"/>
      <c r="AT927" s="2218" t="s">
        <v>3303</v>
      </c>
      <c r="AU927" s="2218" t="s">
        <v>134</v>
      </c>
      <c r="AV927" s="2216" t="s">
        <v>856</v>
      </c>
      <c r="AW927" s="2216" t="s">
        <v>3171</v>
      </c>
      <c r="AX927" s="2216" t="s">
        <v>133</v>
      </c>
      <c r="AY927" s="2218" t="s">
        <v>3285</v>
      </c>
    </row>
    <row r="928" spans="2:65" s="2209" customFormat="1">
      <c r="B928" s="2210"/>
      <c r="D928" s="2197" t="s">
        <v>3303</v>
      </c>
      <c r="F928" s="2212" t="s">
        <v>4023</v>
      </c>
      <c r="H928" s="2213">
        <v>106.34399999999999</v>
      </c>
      <c r="L928" s="2210"/>
      <c r="M928" s="2214"/>
      <c r="T928" s="2215"/>
      <c r="AT928" s="2211" t="s">
        <v>3303</v>
      </c>
      <c r="AU928" s="2211" t="s">
        <v>134</v>
      </c>
      <c r="AV928" s="2209" t="s">
        <v>134</v>
      </c>
      <c r="AW928" s="2209" t="s">
        <v>3148</v>
      </c>
      <c r="AX928" s="2209" t="s">
        <v>133</v>
      </c>
      <c r="AY928" s="2211" t="s">
        <v>3285</v>
      </c>
    </row>
    <row r="929" spans="2:65" s="2070" customFormat="1" ht="33" customHeight="1">
      <c r="B929" s="2164"/>
      <c r="C929" s="4608" t="s">
        <v>4161</v>
      </c>
      <c r="D929" s="4608" t="s">
        <v>3286</v>
      </c>
      <c r="E929" s="4609" t="s">
        <v>10913</v>
      </c>
      <c r="F929" s="4610" t="s">
        <v>10914</v>
      </c>
      <c r="G929" s="4611" t="s">
        <v>611</v>
      </c>
      <c r="H929" s="4612">
        <v>2661.42</v>
      </c>
      <c r="I929" s="4613"/>
      <c r="J929" s="4613">
        <f>ROUND(I929*H929,2)</f>
        <v>0</v>
      </c>
      <c r="K929" s="4610" t="s">
        <v>142</v>
      </c>
      <c r="L929" s="2071"/>
      <c r="M929" s="2190" t="s">
        <v>3146</v>
      </c>
      <c r="N929" s="2163" t="s">
        <v>3181</v>
      </c>
      <c r="O929" s="2191">
        <v>0.14199999999999999</v>
      </c>
      <c r="P929" s="2191">
        <f>O929*H929</f>
        <v>377.92163999999997</v>
      </c>
      <c r="Q929" s="2191">
        <v>1.2E-4</v>
      </c>
      <c r="R929" s="2191">
        <f>Q929*H929</f>
        <v>0.3193704</v>
      </c>
      <c r="S929" s="2191">
        <v>0</v>
      </c>
      <c r="T929" s="2192">
        <f>S929*H929</f>
        <v>0</v>
      </c>
      <c r="AR929" s="2193" t="s">
        <v>2894</v>
      </c>
      <c r="AT929" s="2193" t="s">
        <v>3286</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10915</v>
      </c>
    </row>
    <row r="930" spans="2:65" s="2209" customFormat="1">
      <c r="B930" s="2210"/>
      <c r="D930" s="2197" t="s">
        <v>3303</v>
      </c>
      <c r="F930" s="2212" t="s">
        <v>10830</v>
      </c>
      <c r="H930" s="2213">
        <v>2661.42</v>
      </c>
      <c r="L930" s="2210"/>
      <c r="M930" s="2214"/>
      <c r="T930" s="2215"/>
      <c r="AT930" s="2211" t="s">
        <v>3303</v>
      </c>
      <c r="AU930" s="2211" t="s">
        <v>134</v>
      </c>
      <c r="AV930" s="2209" t="s">
        <v>134</v>
      </c>
      <c r="AW930" s="2209" t="s">
        <v>3148</v>
      </c>
      <c r="AX930" s="2209" t="s">
        <v>133</v>
      </c>
      <c r="AY930" s="2211" t="s">
        <v>3285</v>
      </c>
    </row>
    <row r="931" spans="2:65" s="2070" customFormat="1" ht="24.2" customHeight="1">
      <c r="B931" s="2164"/>
      <c r="C931" s="4614" t="s">
        <v>4165</v>
      </c>
      <c r="D931" s="4614" t="s">
        <v>135</v>
      </c>
      <c r="E931" s="4615" t="s">
        <v>10916</v>
      </c>
      <c r="F931" s="4616" t="s">
        <v>10917</v>
      </c>
      <c r="G931" s="4617" t="s">
        <v>611</v>
      </c>
      <c r="H931" s="4618">
        <v>22.690999999999999</v>
      </c>
      <c r="I931" s="4619"/>
      <c r="J931" s="4619">
        <f>ROUND(I931*H931,2)</f>
        <v>0</v>
      </c>
      <c r="K931" s="4616" t="s">
        <v>142</v>
      </c>
      <c r="L931" s="2223"/>
      <c r="M931" s="2224" t="s">
        <v>3146</v>
      </c>
      <c r="N931" s="2225" t="s">
        <v>3181</v>
      </c>
      <c r="O931" s="2191">
        <v>0</v>
      </c>
      <c r="P931" s="2191">
        <f>O931*H931</f>
        <v>0</v>
      </c>
      <c r="Q931" s="2191">
        <v>6.0000000000000001E-3</v>
      </c>
      <c r="R931" s="2191">
        <f>Q931*H931</f>
        <v>0.13614599999999999</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10918</v>
      </c>
    </row>
    <row r="932" spans="2:65" s="2209" customFormat="1">
      <c r="B932" s="2210"/>
      <c r="D932" s="2197" t="s">
        <v>3303</v>
      </c>
      <c r="E932" s="2211" t="s">
        <v>3146</v>
      </c>
      <c r="F932" s="2212" t="s">
        <v>10919</v>
      </c>
      <c r="H932" s="2213">
        <v>21.61</v>
      </c>
      <c r="L932" s="2210"/>
      <c r="M932" s="2214"/>
      <c r="T932" s="2215"/>
      <c r="AT932" s="2211" t="s">
        <v>3303</v>
      </c>
      <c r="AU932" s="2211" t="s">
        <v>134</v>
      </c>
      <c r="AV932" s="2209" t="s">
        <v>134</v>
      </c>
      <c r="AW932" s="2209" t="s">
        <v>3171</v>
      </c>
      <c r="AX932" s="2209" t="s">
        <v>3213</v>
      </c>
      <c r="AY932" s="2211" t="s">
        <v>3285</v>
      </c>
    </row>
    <row r="933" spans="2:65" s="2216" customFormat="1">
      <c r="B933" s="2217"/>
      <c r="D933" s="2197" t="s">
        <v>3303</v>
      </c>
      <c r="E933" s="2218" t="s">
        <v>3146</v>
      </c>
      <c r="F933" s="2219" t="s">
        <v>3306</v>
      </c>
      <c r="H933" s="2220">
        <v>21.61</v>
      </c>
      <c r="L933" s="2217"/>
      <c r="M933" s="2221"/>
      <c r="T933" s="2222"/>
      <c r="AT933" s="2218" t="s">
        <v>3303</v>
      </c>
      <c r="AU933" s="2218" t="s">
        <v>134</v>
      </c>
      <c r="AV933" s="2216" t="s">
        <v>856</v>
      </c>
      <c r="AW933" s="2216" t="s">
        <v>3171</v>
      </c>
      <c r="AX933" s="2216" t="s">
        <v>133</v>
      </c>
      <c r="AY933" s="2218" t="s">
        <v>3285</v>
      </c>
    </row>
    <row r="934" spans="2:65" s="2209" customFormat="1">
      <c r="B934" s="2210"/>
      <c r="D934" s="2197" t="s">
        <v>3303</v>
      </c>
      <c r="F934" s="2212" t="s">
        <v>10920</v>
      </c>
      <c r="H934" s="2213">
        <v>22.690999999999999</v>
      </c>
      <c r="L934" s="2210"/>
      <c r="M934" s="2214"/>
      <c r="T934" s="2215"/>
      <c r="AT934" s="2211" t="s">
        <v>3303</v>
      </c>
      <c r="AU934" s="2211" t="s">
        <v>134</v>
      </c>
      <c r="AV934" s="2209" t="s">
        <v>134</v>
      </c>
      <c r="AW934" s="2209" t="s">
        <v>3148</v>
      </c>
      <c r="AX934" s="2209" t="s">
        <v>133</v>
      </c>
      <c r="AY934" s="2211" t="s">
        <v>3285</v>
      </c>
    </row>
    <row r="935" spans="2:65" s="2070" customFormat="1" ht="33" customHeight="1">
      <c r="B935" s="2164"/>
      <c r="C935" s="4614" t="s">
        <v>4169</v>
      </c>
      <c r="D935" s="4614" t="s">
        <v>135</v>
      </c>
      <c r="E935" s="4615" t="s">
        <v>10921</v>
      </c>
      <c r="F935" s="4616" t="s">
        <v>10922</v>
      </c>
      <c r="G935" s="4617" t="s">
        <v>611</v>
      </c>
      <c r="H935" s="4618">
        <v>1231.6500000000001</v>
      </c>
      <c r="I935" s="4619"/>
      <c r="J935" s="4619">
        <f>ROUND(I935*H935,2)</f>
        <v>0</v>
      </c>
      <c r="K935" s="4616" t="s">
        <v>142</v>
      </c>
      <c r="L935" s="2223"/>
      <c r="M935" s="2224" t="s">
        <v>3146</v>
      </c>
      <c r="N935" s="2225" t="s">
        <v>3181</v>
      </c>
      <c r="O935" s="2191">
        <v>0</v>
      </c>
      <c r="P935" s="2191">
        <f>O935*H935</f>
        <v>0</v>
      </c>
      <c r="Q935" s="2191">
        <v>4.7999999999999996E-3</v>
      </c>
      <c r="R935" s="2191">
        <f>Q935*H935</f>
        <v>5.9119200000000003</v>
      </c>
      <c r="S935" s="2191">
        <v>0</v>
      </c>
      <c r="T935" s="2192">
        <f>S935*H935</f>
        <v>0</v>
      </c>
      <c r="AR935" s="2193" t="s">
        <v>3389</v>
      </c>
      <c r="AT935" s="2193" t="s">
        <v>135</v>
      </c>
      <c r="AU935" s="2193" t="s">
        <v>134</v>
      </c>
      <c r="AY935" s="2056" t="s">
        <v>3285</v>
      </c>
      <c r="BE935" s="2194">
        <f>IF(N935="základní",J935,0)</f>
        <v>0</v>
      </c>
      <c r="BF935" s="2194">
        <f>IF(N935="snížená",J935,0)</f>
        <v>0</v>
      </c>
      <c r="BG935" s="2194">
        <f>IF(N935="zákl. přenesená",J935,0)</f>
        <v>0</v>
      </c>
      <c r="BH935" s="2194">
        <f>IF(N935="sníž. přenesená",J935,0)</f>
        <v>0</v>
      </c>
      <c r="BI935" s="2194">
        <f>IF(N935="nulová",J935,0)</f>
        <v>0</v>
      </c>
      <c r="BJ935" s="2056" t="s">
        <v>134</v>
      </c>
      <c r="BK935" s="2194">
        <f>ROUND(I935*H935,2)</f>
        <v>0</v>
      </c>
      <c r="BL935" s="2056" t="s">
        <v>2894</v>
      </c>
      <c r="BM935" s="2193" t="s">
        <v>10923</v>
      </c>
    </row>
    <row r="936" spans="2:65" s="2195" customFormat="1">
      <c r="B936" s="2196"/>
      <c r="D936" s="2197" t="s">
        <v>3303</v>
      </c>
      <c r="E936" s="2198" t="s">
        <v>3146</v>
      </c>
      <c r="F936" s="2199" t="s">
        <v>10820</v>
      </c>
      <c r="H936" s="2198" t="s">
        <v>3146</v>
      </c>
      <c r="L936" s="2196"/>
      <c r="M936" s="2200"/>
      <c r="T936" s="2201"/>
      <c r="AT936" s="2198" t="s">
        <v>3303</v>
      </c>
      <c r="AU936" s="2198" t="s">
        <v>134</v>
      </c>
      <c r="AV936" s="2195" t="s">
        <v>133</v>
      </c>
      <c r="AW936" s="2195" t="s">
        <v>3171</v>
      </c>
      <c r="AX936" s="2195" t="s">
        <v>3213</v>
      </c>
      <c r="AY936" s="2198" t="s">
        <v>3285</v>
      </c>
    </row>
    <row r="937" spans="2:65" s="2209" customFormat="1">
      <c r="B937" s="2210"/>
      <c r="D937" s="2197" t="s">
        <v>3303</v>
      </c>
      <c r="E937" s="2211" t="s">
        <v>3146</v>
      </c>
      <c r="F937" s="2212" t="s">
        <v>10821</v>
      </c>
      <c r="H937" s="2213">
        <v>890</v>
      </c>
      <c r="L937" s="2210"/>
      <c r="M937" s="2214"/>
      <c r="T937" s="2215"/>
      <c r="AT937" s="2211" t="s">
        <v>3303</v>
      </c>
      <c r="AU937" s="2211" t="s">
        <v>134</v>
      </c>
      <c r="AV937" s="2209" t="s">
        <v>134</v>
      </c>
      <c r="AW937" s="2209" t="s">
        <v>3171</v>
      </c>
      <c r="AX937" s="2209" t="s">
        <v>3213</v>
      </c>
      <c r="AY937" s="2211" t="s">
        <v>3285</v>
      </c>
    </row>
    <row r="938" spans="2:65" s="2209" customFormat="1">
      <c r="B938" s="2210"/>
      <c r="D938" s="2197" t="s">
        <v>3303</v>
      </c>
      <c r="E938" s="2211" t="s">
        <v>3146</v>
      </c>
      <c r="F938" s="2212" t="s">
        <v>5226</v>
      </c>
      <c r="H938" s="2213">
        <v>245</v>
      </c>
      <c r="L938" s="2210"/>
      <c r="M938" s="2214"/>
      <c r="T938" s="2215"/>
      <c r="AT938" s="2211" t="s">
        <v>3303</v>
      </c>
      <c r="AU938" s="2211" t="s">
        <v>134</v>
      </c>
      <c r="AV938" s="2209" t="s">
        <v>134</v>
      </c>
      <c r="AW938" s="2209" t="s">
        <v>3171</v>
      </c>
      <c r="AX938" s="2209" t="s">
        <v>3213</v>
      </c>
      <c r="AY938" s="2211" t="s">
        <v>3285</v>
      </c>
    </row>
    <row r="939" spans="2:65" s="2195" customFormat="1">
      <c r="B939" s="2196"/>
      <c r="D939" s="2197" t="s">
        <v>3303</v>
      </c>
      <c r="E939" s="2198" t="s">
        <v>3146</v>
      </c>
      <c r="F939" s="2199" t="s">
        <v>10822</v>
      </c>
      <c r="H939" s="2198" t="s">
        <v>3146</v>
      </c>
      <c r="L939" s="2196"/>
      <c r="M939" s="2200"/>
      <c r="T939" s="2201"/>
      <c r="AT939" s="2198" t="s">
        <v>3303</v>
      </c>
      <c r="AU939" s="2198" t="s">
        <v>134</v>
      </c>
      <c r="AV939" s="2195" t="s">
        <v>133</v>
      </c>
      <c r="AW939" s="2195" t="s">
        <v>3171</v>
      </c>
      <c r="AX939" s="2195" t="s">
        <v>3213</v>
      </c>
      <c r="AY939" s="2198" t="s">
        <v>3285</v>
      </c>
    </row>
    <row r="940" spans="2:65" s="2209" customFormat="1">
      <c r="B940" s="2210"/>
      <c r="D940" s="2197" t="s">
        <v>3303</v>
      </c>
      <c r="E940" s="2211" t="s">
        <v>3146</v>
      </c>
      <c r="F940" s="2212" t="s">
        <v>685</v>
      </c>
      <c r="H940" s="2213">
        <v>38</v>
      </c>
      <c r="L940" s="2210"/>
      <c r="M940" s="2214"/>
      <c r="T940" s="2215"/>
      <c r="AT940" s="2211" t="s">
        <v>3303</v>
      </c>
      <c r="AU940" s="2211" t="s">
        <v>134</v>
      </c>
      <c r="AV940" s="2209" t="s">
        <v>134</v>
      </c>
      <c r="AW940" s="2209" t="s">
        <v>3171</v>
      </c>
      <c r="AX940" s="2209" t="s">
        <v>3213</v>
      </c>
      <c r="AY940" s="2211" t="s">
        <v>3285</v>
      </c>
    </row>
    <row r="941" spans="2:65" s="2216" customFormat="1">
      <c r="B941" s="2217"/>
      <c r="D941" s="2197" t="s">
        <v>3303</v>
      </c>
      <c r="E941" s="2218" t="s">
        <v>3146</v>
      </c>
      <c r="F941" s="2219" t="s">
        <v>3306</v>
      </c>
      <c r="H941" s="2220">
        <v>1173</v>
      </c>
      <c r="L941" s="2217"/>
      <c r="M941" s="2221"/>
      <c r="T941" s="2222"/>
      <c r="AT941" s="2218" t="s">
        <v>3303</v>
      </c>
      <c r="AU941" s="2218" t="s">
        <v>134</v>
      </c>
      <c r="AV941" s="2216" t="s">
        <v>856</v>
      </c>
      <c r="AW941" s="2216" t="s">
        <v>3171</v>
      </c>
      <c r="AX941" s="2216" t="s">
        <v>133</v>
      </c>
      <c r="AY941" s="2218" t="s">
        <v>3285</v>
      </c>
    </row>
    <row r="942" spans="2:65" s="2209" customFormat="1">
      <c r="B942" s="2210"/>
      <c r="D942" s="2197" t="s">
        <v>3303</v>
      </c>
      <c r="F942" s="2212" t="s">
        <v>10924</v>
      </c>
      <c r="H942" s="2213">
        <v>1231.6500000000001</v>
      </c>
      <c r="L942" s="2210"/>
      <c r="M942" s="2214"/>
      <c r="T942" s="2215"/>
      <c r="AT942" s="2211" t="s">
        <v>3303</v>
      </c>
      <c r="AU942" s="2211" t="s">
        <v>134</v>
      </c>
      <c r="AV942" s="2209" t="s">
        <v>134</v>
      </c>
      <c r="AW942" s="2209" t="s">
        <v>3148</v>
      </c>
      <c r="AX942" s="2209" t="s">
        <v>133</v>
      </c>
      <c r="AY942" s="2211" t="s">
        <v>3285</v>
      </c>
    </row>
    <row r="943" spans="2:65" s="2070" customFormat="1" ht="33" customHeight="1">
      <c r="B943" s="2164"/>
      <c r="C943" s="4614" t="s">
        <v>4175</v>
      </c>
      <c r="D943" s="4614" t="s">
        <v>135</v>
      </c>
      <c r="E943" s="4615" t="s">
        <v>10925</v>
      </c>
      <c r="F943" s="4616" t="s">
        <v>10926</v>
      </c>
      <c r="G943" s="4617" t="s">
        <v>611</v>
      </c>
      <c r="H943" s="4618">
        <v>142.905</v>
      </c>
      <c r="I943" s="4619"/>
      <c r="J943" s="4619">
        <f>ROUND(I943*H943,2)</f>
        <v>0</v>
      </c>
      <c r="K943" s="4616" t="s">
        <v>142</v>
      </c>
      <c r="L943" s="2223"/>
      <c r="M943" s="2224" t="s">
        <v>3146</v>
      </c>
      <c r="N943" s="2225" t="s">
        <v>3181</v>
      </c>
      <c r="O943" s="2191">
        <v>0</v>
      </c>
      <c r="P943" s="2191">
        <f>O943*H943</f>
        <v>0</v>
      </c>
      <c r="Q943" s="2191">
        <v>3.5999999999999999E-3</v>
      </c>
      <c r="R943" s="2191">
        <f>Q943*H943</f>
        <v>0.51445799999999997</v>
      </c>
      <c r="S943" s="2191">
        <v>0</v>
      </c>
      <c r="T943" s="2192">
        <f>S943*H943</f>
        <v>0</v>
      </c>
      <c r="AR943" s="2193" t="s">
        <v>3389</v>
      </c>
      <c r="AT943" s="2193" t="s">
        <v>135</v>
      </c>
      <c r="AU943" s="2193" t="s">
        <v>134</v>
      </c>
      <c r="AY943" s="2056" t="s">
        <v>3285</v>
      </c>
      <c r="BE943" s="2194">
        <f>IF(N943="základní",J943,0)</f>
        <v>0</v>
      </c>
      <c r="BF943" s="2194">
        <f>IF(N943="snížená",J943,0)</f>
        <v>0</v>
      </c>
      <c r="BG943" s="2194">
        <f>IF(N943="zákl. přenesená",J943,0)</f>
        <v>0</v>
      </c>
      <c r="BH943" s="2194">
        <f>IF(N943="sníž. přenesená",J943,0)</f>
        <v>0</v>
      </c>
      <c r="BI943" s="2194">
        <f>IF(N943="nulová",J943,0)</f>
        <v>0</v>
      </c>
      <c r="BJ943" s="2056" t="s">
        <v>134</v>
      </c>
      <c r="BK943" s="2194">
        <f>ROUND(I943*H943,2)</f>
        <v>0</v>
      </c>
      <c r="BL943" s="2056" t="s">
        <v>2894</v>
      </c>
      <c r="BM943" s="2193" t="s">
        <v>10927</v>
      </c>
    </row>
    <row r="944" spans="2:65" s="2195" customFormat="1">
      <c r="B944" s="2196"/>
      <c r="D944" s="2197" t="s">
        <v>3303</v>
      </c>
      <c r="E944" s="2198" t="s">
        <v>3146</v>
      </c>
      <c r="F944" s="2199" t="s">
        <v>10823</v>
      </c>
      <c r="H944" s="2198" t="s">
        <v>3146</v>
      </c>
      <c r="L944" s="2196"/>
      <c r="M944" s="2200"/>
      <c r="T944" s="2201"/>
      <c r="AT944" s="2198" t="s">
        <v>3303</v>
      </c>
      <c r="AU944" s="2198" t="s">
        <v>134</v>
      </c>
      <c r="AV944" s="2195" t="s">
        <v>133</v>
      </c>
      <c r="AW944" s="2195" t="s">
        <v>3171</v>
      </c>
      <c r="AX944" s="2195" t="s">
        <v>3213</v>
      </c>
      <c r="AY944" s="2198" t="s">
        <v>3285</v>
      </c>
    </row>
    <row r="945" spans="2:65" s="2209" customFormat="1">
      <c r="B945" s="2210"/>
      <c r="D945" s="2197" t="s">
        <v>3303</v>
      </c>
      <c r="E945" s="2211" t="s">
        <v>3146</v>
      </c>
      <c r="F945" s="2212" t="s">
        <v>10824</v>
      </c>
      <c r="H945" s="2213">
        <v>116.1</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2272</v>
      </c>
      <c r="H946" s="2213">
        <v>20</v>
      </c>
      <c r="L946" s="2210"/>
      <c r="M946" s="2214"/>
      <c r="T946" s="2215"/>
      <c r="AT946" s="2211" t="s">
        <v>3303</v>
      </c>
      <c r="AU946" s="2211" t="s">
        <v>134</v>
      </c>
      <c r="AV946" s="2209" t="s">
        <v>134</v>
      </c>
      <c r="AW946" s="2209" t="s">
        <v>3171</v>
      </c>
      <c r="AX946" s="2209" t="s">
        <v>3213</v>
      </c>
      <c r="AY946" s="2211" t="s">
        <v>3285</v>
      </c>
    </row>
    <row r="947" spans="2:65" s="2216" customFormat="1">
      <c r="B947" s="2217"/>
      <c r="D947" s="2197" t="s">
        <v>3303</v>
      </c>
      <c r="E947" s="2218" t="s">
        <v>3146</v>
      </c>
      <c r="F947" s="2219" t="s">
        <v>3306</v>
      </c>
      <c r="H947" s="2220">
        <v>136.1</v>
      </c>
      <c r="L947" s="2217"/>
      <c r="M947" s="2221"/>
      <c r="T947" s="2222"/>
      <c r="AT947" s="2218" t="s">
        <v>3303</v>
      </c>
      <c r="AU947" s="2218" t="s">
        <v>134</v>
      </c>
      <c r="AV947" s="2216" t="s">
        <v>856</v>
      </c>
      <c r="AW947" s="2216" t="s">
        <v>3171</v>
      </c>
      <c r="AX947" s="2216" t="s">
        <v>133</v>
      </c>
      <c r="AY947" s="2218" t="s">
        <v>3285</v>
      </c>
    </row>
    <row r="948" spans="2:65" s="2209" customFormat="1">
      <c r="B948" s="2210"/>
      <c r="D948" s="2197" t="s">
        <v>3303</v>
      </c>
      <c r="F948" s="2212" t="s">
        <v>10928</v>
      </c>
      <c r="H948" s="2213">
        <v>142.905</v>
      </c>
      <c r="L948" s="2210"/>
      <c r="M948" s="2214"/>
      <c r="T948" s="2215"/>
      <c r="AT948" s="2211" t="s">
        <v>3303</v>
      </c>
      <c r="AU948" s="2211" t="s">
        <v>134</v>
      </c>
      <c r="AV948" s="2209" t="s">
        <v>134</v>
      </c>
      <c r="AW948" s="2209" t="s">
        <v>3148</v>
      </c>
      <c r="AX948" s="2209" t="s">
        <v>133</v>
      </c>
      <c r="AY948" s="2211" t="s">
        <v>3285</v>
      </c>
    </row>
    <row r="949" spans="2:65" s="2070" customFormat="1" ht="33" customHeight="1">
      <c r="B949" s="2164"/>
      <c r="C949" s="4614" t="s">
        <v>4179</v>
      </c>
      <c r="D949" s="4614" t="s">
        <v>135</v>
      </c>
      <c r="E949" s="4615" t="s">
        <v>10929</v>
      </c>
      <c r="F949" s="4616" t="s">
        <v>10930</v>
      </c>
      <c r="G949" s="4617" t="s">
        <v>611</v>
      </c>
      <c r="H949" s="4618">
        <v>1948.8</v>
      </c>
      <c r="I949" s="4619"/>
      <c r="J949" s="4619">
        <f>ROUND(I949*H949,2)</f>
        <v>0</v>
      </c>
      <c r="K949" s="4616" t="s">
        <v>142</v>
      </c>
      <c r="L949" s="2223"/>
      <c r="M949" s="2224" t="s">
        <v>3146</v>
      </c>
      <c r="N949" s="2225" t="s">
        <v>3181</v>
      </c>
      <c r="O949" s="2191">
        <v>0</v>
      </c>
      <c r="P949" s="2191">
        <f>O949*H949</f>
        <v>0</v>
      </c>
      <c r="Q949" s="2191">
        <v>3.0000000000000001E-3</v>
      </c>
      <c r="R949" s="2191">
        <f>Q949*H949</f>
        <v>5.8464</v>
      </c>
      <c r="S949" s="2191">
        <v>0</v>
      </c>
      <c r="T949" s="2192">
        <f>S949*H949</f>
        <v>0</v>
      </c>
      <c r="AR949" s="2193" t="s">
        <v>3389</v>
      </c>
      <c r="AT949" s="2193" t="s">
        <v>135</v>
      </c>
      <c r="AU949" s="2193" t="s">
        <v>134</v>
      </c>
      <c r="AY949" s="2056" t="s">
        <v>3285</v>
      </c>
      <c r="BE949" s="2194">
        <f>IF(N949="základní",J949,0)</f>
        <v>0</v>
      </c>
      <c r="BF949" s="2194">
        <f>IF(N949="snížená",J949,0)</f>
        <v>0</v>
      </c>
      <c r="BG949" s="2194">
        <f>IF(N949="zákl. přenesená",J949,0)</f>
        <v>0</v>
      </c>
      <c r="BH949" s="2194">
        <f>IF(N949="sníž. přenesená",J949,0)</f>
        <v>0</v>
      </c>
      <c r="BI949" s="2194">
        <f>IF(N949="nulová",J949,0)</f>
        <v>0</v>
      </c>
      <c r="BJ949" s="2056" t="s">
        <v>134</v>
      </c>
      <c r="BK949" s="2194">
        <f>ROUND(I949*H949,2)</f>
        <v>0</v>
      </c>
      <c r="BL949" s="2056" t="s">
        <v>2894</v>
      </c>
      <c r="BM949" s="2193" t="s">
        <v>10931</v>
      </c>
    </row>
    <row r="950" spans="2:65" s="2195" customFormat="1">
      <c r="B950" s="2196"/>
      <c r="D950" s="2197" t="s">
        <v>3303</v>
      </c>
      <c r="E950" s="2198" t="s">
        <v>3146</v>
      </c>
      <c r="F950" s="2199" t="s">
        <v>10820</v>
      </c>
      <c r="H950" s="2198" t="s">
        <v>3146</v>
      </c>
      <c r="L950" s="2196"/>
      <c r="M950" s="2200"/>
      <c r="T950" s="2201"/>
      <c r="AT950" s="2198" t="s">
        <v>3303</v>
      </c>
      <c r="AU950" s="2198" t="s">
        <v>134</v>
      </c>
      <c r="AV950" s="2195" t="s">
        <v>133</v>
      </c>
      <c r="AW950" s="2195" t="s">
        <v>3171</v>
      </c>
      <c r="AX950" s="2195" t="s">
        <v>3213</v>
      </c>
      <c r="AY950" s="2198" t="s">
        <v>3285</v>
      </c>
    </row>
    <row r="951" spans="2:65" s="2209" customFormat="1">
      <c r="B951" s="2210"/>
      <c r="D951" s="2197" t="s">
        <v>3303</v>
      </c>
      <c r="E951" s="2211" t="s">
        <v>3146</v>
      </c>
      <c r="F951" s="2212" t="s">
        <v>10932</v>
      </c>
      <c r="H951" s="2213">
        <v>1780</v>
      </c>
      <c r="L951" s="2210"/>
      <c r="M951" s="2214"/>
      <c r="T951" s="2215"/>
      <c r="AT951" s="2211" t="s">
        <v>3303</v>
      </c>
      <c r="AU951" s="2211" t="s">
        <v>134</v>
      </c>
      <c r="AV951" s="2209" t="s">
        <v>134</v>
      </c>
      <c r="AW951" s="2209" t="s">
        <v>3171</v>
      </c>
      <c r="AX951" s="2209" t="s">
        <v>3213</v>
      </c>
      <c r="AY951" s="2211" t="s">
        <v>3285</v>
      </c>
    </row>
    <row r="952" spans="2:65" s="2195" customFormat="1">
      <c r="B952" s="2196"/>
      <c r="D952" s="2197" t="s">
        <v>3303</v>
      </c>
      <c r="E952" s="2198" t="s">
        <v>3146</v>
      </c>
      <c r="F952" s="2199" t="s">
        <v>10822</v>
      </c>
      <c r="H952" s="2198" t="s">
        <v>3146</v>
      </c>
      <c r="L952" s="2196"/>
      <c r="M952" s="2200"/>
      <c r="T952" s="2201"/>
      <c r="AT952" s="2198" t="s">
        <v>3303</v>
      </c>
      <c r="AU952" s="2198" t="s">
        <v>134</v>
      </c>
      <c r="AV952" s="2195" t="s">
        <v>133</v>
      </c>
      <c r="AW952" s="2195" t="s">
        <v>3171</v>
      </c>
      <c r="AX952" s="2195" t="s">
        <v>3213</v>
      </c>
      <c r="AY952" s="2198" t="s">
        <v>3285</v>
      </c>
    </row>
    <row r="953" spans="2:65" s="2209" customFormat="1">
      <c r="B953" s="2210"/>
      <c r="D953" s="2197" t="s">
        <v>3303</v>
      </c>
      <c r="E953" s="2211" t="s">
        <v>3146</v>
      </c>
      <c r="F953" s="2212" t="s">
        <v>10933</v>
      </c>
      <c r="H953" s="2213">
        <v>76</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1856</v>
      </c>
      <c r="L954" s="2217"/>
      <c r="M954" s="2221"/>
      <c r="T954" s="2222"/>
      <c r="AT954" s="2218" t="s">
        <v>3303</v>
      </c>
      <c r="AU954" s="2218" t="s">
        <v>134</v>
      </c>
      <c r="AV954" s="2216" t="s">
        <v>856</v>
      </c>
      <c r="AW954" s="2216" t="s">
        <v>3171</v>
      </c>
      <c r="AX954" s="2216" t="s">
        <v>133</v>
      </c>
      <c r="AY954" s="2218" t="s">
        <v>3285</v>
      </c>
    </row>
    <row r="955" spans="2:65" s="2209" customFormat="1">
      <c r="B955" s="2210"/>
      <c r="D955" s="2197" t="s">
        <v>3303</v>
      </c>
      <c r="F955" s="2212" t="s">
        <v>10934</v>
      </c>
      <c r="H955" s="2213">
        <v>1948.8</v>
      </c>
      <c r="L955" s="2210"/>
      <c r="M955" s="2214"/>
      <c r="T955" s="2215"/>
      <c r="AT955" s="2211" t="s">
        <v>3303</v>
      </c>
      <c r="AU955" s="2211" t="s">
        <v>134</v>
      </c>
      <c r="AV955" s="2209" t="s">
        <v>134</v>
      </c>
      <c r="AW955" s="2209" t="s">
        <v>3148</v>
      </c>
      <c r="AX955" s="2209" t="s">
        <v>133</v>
      </c>
      <c r="AY955" s="2211" t="s">
        <v>3285</v>
      </c>
    </row>
    <row r="956" spans="2:65" s="2070" customFormat="1" ht="24.2" customHeight="1">
      <c r="B956" s="2164"/>
      <c r="C956" s="4608" t="s">
        <v>4190</v>
      </c>
      <c r="D956" s="4608" t="s">
        <v>3286</v>
      </c>
      <c r="E956" s="4609" t="s">
        <v>10935</v>
      </c>
      <c r="F956" s="4610" t="s">
        <v>10936</v>
      </c>
      <c r="G956" s="4611" t="s">
        <v>611</v>
      </c>
      <c r="H956" s="4612">
        <v>116.1</v>
      </c>
      <c r="I956" s="4613"/>
      <c r="J956" s="4613">
        <f>ROUND(I956*H956,2)</f>
        <v>0</v>
      </c>
      <c r="K956" s="4610" t="s">
        <v>142</v>
      </c>
      <c r="L956" s="2071"/>
      <c r="M956" s="2190" t="s">
        <v>3146</v>
      </c>
      <c r="N956" s="2163" t="s">
        <v>3181</v>
      </c>
      <c r="O956" s="2191">
        <v>0.159</v>
      </c>
      <c r="P956" s="2191">
        <f>O956*H956</f>
        <v>18.459900000000001</v>
      </c>
      <c r="Q956" s="2191">
        <v>5.0000000000000002E-5</v>
      </c>
      <c r="R956" s="2191">
        <f>Q956*H956</f>
        <v>5.8050000000000003E-3</v>
      </c>
      <c r="S956" s="2191">
        <v>0</v>
      </c>
      <c r="T956" s="2192">
        <f>S956*H956</f>
        <v>0</v>
      </c>
      <c r="AR956" s="2193" t="s">
        <v>2894</v>
      </c>
      <c r="AT956" s="2193" t="s">
        <v>3286</v>
      </c>
      <c r="AU956" s="2193" t="s">
        <v>134</v>
      </c>
      <c r="AY956" s="2056" t="s">
        <v>3285</v>
      </c>
      <c r="BE956" s="2194">
        <f>IF(N956="základní",J956,0)</f>
        <v>0</v>
      </c>
      <c r="BF956" s="2194">
        <f>IF(N956="snížená",J956,0)</f>
        <v>0</v>
      </c>
      <c r="BG956" s="2194">
        <f>IF(N956="zákl. přenesená",J956,0)</f>
        <v>0</v>
      </c>
      <c r="BH956" s="2194">
        <f>IF(N956="sníž. přenesená",J956,0)</f>
        <v>0</v>
      </c>
      <c r="BI956" s="2194">
        <f>IF(N956="nulová",J956,0)</f>
        <v>0</v>
      </c>
      <c r="BJ956" s="2056" t="s">
        <v>134</v>
      </c>
      <c r="BK956" s="2194">
        <f>ROUND(I956*H956,2)</f>
        <v>0</v>
      </c>
      <c r="BL956" s="2056" t="s">
        <v>2894</v>
      </c>
      <c r="BM956" s="2193" t="s">
        <v>10937</v>
      </c>
    </row>
    <row r="957" spans="2:65" s="2209" customFormat="1">
      <c r="B957" s="2210"/>
      <c r="D957" s="2197" t="s">
        <v>3303</v>
      </c>
      <c r="E957" s="2211" t="s">
        <v>3146</v>
      </c>
      <c r="F957" s="2212" t="s">
        <v>10938</v>
      </c>
      <c r="H957" s="2213">
        <v>116.1</v>
      </c>
      <c r="L957" s="2210"/>
      <c r="M957" s="2214"/>
      <c r="T957" s="2215"/>
      <c r="AT957" s="2211" t="s">
        <v>3303</v>
      </c>
      <c r="AU957" s="2211" t="s">
        <v>134</v>
      </c>
      <c r="AV957" s="2209" t="s">
        <v>134</v>
      </c>
      <c r="AW957" s="2209" t="s">
        <v>3171</v>
      </c>
      <c r="AX957" s="2209" t="s">
        <v>3213</v>
      </c>
      <c r="AY957" s="2211" t="s">
        <v>3285</v>
      </c>
    </row>
    <row r="958" spans="2:65" s="2216" customFormat="1">
      <c r="B958" s="2217"/>
      <c r="D958" s="2197" t="s">
        <v>3303</v>
      </c>
      <c r="E958" s="2218" t="s">
        <v>3146</v>
      </c>
      <c r="F958" s="2219" t="s">
        <v>3306</v>
      </c>
      <c r="H958" s="2220">
        <v>116.1</v>
      </c>
      <c r="L958" s="2217"/>
      <c r="M958" s="2221"/>
      <c r="T958" s="2222"/>
      <c r="AT958" s="2218" t="s">
        <v>3303</v>
      </c>
      <c r="AU958" s="2218" t="s">
        <v>134</v>
      </c>
      <c r="AV958" s="2216" t="s">
        <v>856</v>
      </c>
      <c r="AW958" s="2216" t="s">
        <v>3171</v>
      </c>
      <c r="AX958" s="2216" t="s">
        <v>133</v>
      </c>
      <c r="AY958" s="2218" t="s">
        <v>3285</v>
      </c>
    </row>
    <row r="959" spans="2:65" s="2070" customFormat="1" ht="24.2" customHeight="1">
      <c r="B959" s="2164"/>
      <c r="C959" s="4608" t="s">
        <v>4196</v>
      </c>
      <c r="D959" s="4608" t="s">
        <v>3286</v>
      </c>
      <c r="E959" s="4609" t="s">
        <v>10939</v>
      </c>
      <c r="F959" s="4610" t="s">
        <v>10940</v>
      </c>
      <c r="G959" s="4611" t="s">
        <v>611</v>
      </c>
      <c r="H959" s="4612">
        <v>21.61</v>
      </c>
      <c r="I959" s="4613"/>
      <c r="J959" s="4613">
        <f>ROUND(I959*H959,2)</f>
        <v>0</v>
      </c>
      <c r="K959" s="4610" t="s">
        <v>142</v>
      </c>
      <c r="L959" s="2071"/>
      <c r="M959" s="2190" t="s">
        <v>3146</v>
      </c>
      <c r="N959" s="2163" t="s">
        <v>3181</v>
      </c>
      <c r="O959" s="2191">
        <v>0.159</v>
      </c>
      <c r="P959" s="2191">
        <f>O959*H959</f>
        <v>3.4359899999999999</v>
      </c>
      <c r="Q959" s="2191">
        <v>6.9999999999999994E-5</v>
      </c>
      <c r="R959" s="2191">
        <f>Q959*H959</f>
        <v>1.5126999999999999E-3</v>
      </c>
      <c r="S959" s="2191">
        <v>0</v>
      </c>
      <c r="T959" s="2192">
        <f>S959*H959</f>
        <v>0</v>
      </c>
      <c r="AR959" s="2193" t="s">
        <v>2894</v>
      </c>
      <c r="AT959" s="2193" t="s">
        <v>3286</v>
      </c>
      <c r="AU959" s="2193" t="s">
        <v>134</v>
      </c>
      <c r="AY959" s="2056" t="s">
        <v>3285</v>
      </c>
      <c r="BE959" s="2194">
        <f>IF(N959="základní",J959,0)</f>
        <v>0</v>
      </c>
      <c r="BF959" s="2194">
        <f>IF(N959="snížená",J959,0)</f>
        <v>0</v>
      </c>
      <c r="BG959" s="2194">
        <f>IF(N959="zákl. přenesená",J959,0)</f>
        <v>0</v>
      </c>
      <c r="BH959" s="2194">
        <f>IF(N959="sníž. přenesená",J959,0)</f>
        <v>0</v>
      </c>
      <c r="BI959" s="2194">
        <f>IF(N959="nulová",J959,0)</f>
        <v>0</v>
      </c>
      <c r="BJ959" s="2056" t="s">
        <v>134</v>
      </c>
      <c r="BK959" s="2194">
        <f>ROUND(I959*H959,2)</f>
        <v>0</v>
      </c>
      <c r="BL959" s="2056" t="s">
        <v>2894</v>
      </c>
      <c r="BM959" s="2193" t="s">
        <v>10941</v>
      </c>
    </row>
    <row r="960" spans="2:65" s="2209" customFormat="1">
      <c r="B960" s="2210"/>
      <c r="D960" s="2197" t="s">
        <v>3303</v>
      </c>
      <c r="E960" s="2211" t="s">
        <v>3146</v>
      </c>
      <c r="F960" s="2212" t="s">
        <v>10919</v>
      </c>
      <c r="H960" s="2213">
        <v>21.61</v>
      </c>
      <c r="L960" s="2210"/>
      <c r="M960" s="2214"/>
      <c r="T960" s="2215"/>
      <c r="AT960" s="2211" t="s">
        <v>3303</v>
      </c>
      <c r="AU960" s="2211" t="s">
        <v>134</v>
      </c>
      <c r="AV960" s="2209" t="s">
        <v>134</v>
      </c>
      <c r="AW960" s="2209" t="s">
        <v>3171</v>
      </c>
      <c r="AX960" s="2209" t="s">
        <v>3213</v>
      </c>
      <c r="AY960" s="2211" t="s">
        <v>3285</v>
      </c>
    </row>
    <row r="961" spans="2:65" s="2216" customFormat="1">
      <c r="B961" s="2217"/>
      <c r="D961" s="2197" t="s">
        <v>3303</v>
      </c>
      <c r="E961" s="2218" t="s">
        <v>3146</v>
      </c>
      <c r="F961" s="2219" t="s">
        <v>3306</v>
      </c>
      <c r="H961" s="2220">
        <v>21.61</v>
      </c>
      <c r="L961" s="2217"/>
      <c r="M961" s="2221"/>
      <c r="T961" s="2222"/>
      <c r="AT961" s="2218" t="s">
        <v>3303</v>
      </c>
      <c r="AU961" s="2218" t="s">
        <v>134</v>
      </c>
      <c r="AV961" s="2216" t="s">
        <v>856</v>
      </c>
      <c r="AW961" s="2216" t="s">
        <v>3171</v>
      </c>
      <c r="AX961" s="2216" t="s">
        <v>133</v>
      </c>
      <c r="AY961" s="2218" t="s">
        <v>3285</v>
      </c>
    </row>
    <row r="962" spans="2:65" s="2070" customFormat="1" ht="24.2" customHeight="1">
      <c r="B962" s="2164"/>
      <c r="C962" s="4608" t="s">
        <v>4201</v>
      </c>
      <c r="D962" s="4608" t="s">
        <v>3286</v>
      </c>
      <c r="E962" s="4609" t="s">
        <v>10942</v>
      </c>
      <c r="F962" s="4610" t="s">
        <v>10943</v>
      </c>
      <c r="G962" s="4611" t="s">
        <v>611</v>
      </c>
      <c r="H962" s="4612">
        <v>928</v>
      </c>
      <c r="I962" s="4613"/>
      <c r="J962" s="4613">
        <f>ROUND(I962*H962,2)</f>
        <v>0</v>
      </c>
      <c r="K962" s="4610" t="s">
        <v>142</v>
      </c>
      <c r="L962" s="2071"/>
      <c r="M962" s="2190" t="s">
        <v>3146</v>
      </c>
      <c r="N962" s="2163" t="s">
        <v>3181</v>
      </c>
      <c r="O962" s="2191">
        <v>0.159</v>
      </c>
      <c r="P962" s="2191">
        <f>O962*H962</f>
        <v>147.55199999999999</v>
      </c>
      <c r="Q962" s="2191">
        <v>1E-4</v>
      </c>
      <c r="R962" s="2191">
        <f>Q962*H962</f>
        <v>9.2800000000000007E-2</v>
      </c>
      <c r="S962" s="2191">
        <v>0</v>
      </c>
      <c r="T962" s="2192">
        <f>S962*H962</f>
        <v>0</v>
      </c>
      <c r="AR962" s="2193" t="s">
        <v>2894</v>
      </c>
      <c r="AT962" s="2193" t="s">
        <v>3286</v>
      </c>
      <c r="AU962" s="2193" t="s">
        <v>134</v>
      </c>
      <c r="AY962" s="2056" t="s">
        <v>3285</v>
      </c>
      <c r="BE962" s="2194">
        <f>IF(N962="základní",J962,0)</f>
        <v>0</v>
      </c>
      <c r="BF962" s="2194">
        <f>IF(N962="snížená",J962,0)</f>
        <v>0</v>
      </c>
      <c r="BG962" s="2194">
        <f>IF(N962="zákl. přenesená",J962,0)</f>
        <v>0</v>
      </c>
      <c r="BH962" s="2194">
        <f>IF(N962="sníž. přenesená",J962,0)</f>
        <v>0</v>
      </c>
      <c r="BI962" s="2194">
        <f>IF(N962="nulová",J962,0)</f>
        <v>0</v>
      </c>
      <c r="BJ962" s="2056" t="s">
        <v>134</v>
      </c>
      <c r="BK962" s="2194">
        <f>ROUND(I962*H962,2)</f>
        <v>0</v>
      </c>
      <c r="BL962" s="2056" t="s">
        <v>2894</v>
      </c>
      <c r="BM962" s="2193" t="s">
        <v>10944</v>
      </c>
    </row>
    <row r="963" spans="2:65" s="2209" customFormat="1">
      <c r="B963" s="2210"/>
      <c r="D963" s="2197" t="s">
        <v>3303</v>
      </c>
      <c r="E963" s="2211" t="s">
        <v>3146</v>
      </c>
      <c r="F963" s="2212" t="s">
        <v>10945</v>
      </c>
      <c r="H963" s="2213">
        <v>890</v>
      </c>
      <c r="L963" s="2210"/>
      <c r="M963" s="2214"/>
      <c r="T963" s="2215"/>
      <c r="AT963" s="2211" t="s">
        <v>3303</v>
      </c>
      <c r="AU963" s="2211" t="s">
        <v>134</v>
      </c>
      <c r="AV963" s="2209" t="s">
        <v>134</v>
      </c>
      <c r="AW963" s="2209" t="s">
        <v>3171</v>
      </c>
      <c r="AX963" s="2209" t="s">
        <v>3213</v>
      </c>
      <c r="AY963" s="2211" t="s">
        <v>3285</v>
      </c>
    </row>
    <row r="964" spans="2:65" s="2209" customFormat="1">
      <c r="B964" s="2210"/>
      <c r="D964" s="2197" t="s">
        <v>3303</v>
      </c>
      <c r="E964" s="2211" t="s">
        <v>3146</v>
      </c>
      <c r="F964" s="2212" t="s">
        <v>10946</v>
      </c>
      <c r="H964" s="2213">
        <v>38</v>
      </c>
      <c r="L964" s="2210"/>
      <c r="M964" s="2214"/>
      <c r="T964" s="2215"/>
      <c r="AT964" s="2211" t="s">
        <v>3303</v>
      </c>
      <c r="AU964" s="2211" t="s">
        <v>134</v>
      </c>
      <c r="AV964" s="2209" t="s">
        <v>134</v>
      </c>
      <c r="AW964" s="2209" t="s">
        <v>3171</v>
      </c>
      <c r="AX964" s="2209" t="s">
        <v>3213</v>
      </c>
      <c r="AY964" s="2211" t="s">
        <v>3285</v>
      </c>
    </row>
    <row r="965" spans="2:65" s="2216" customFormat="1">
      <c r="B965" s="2217"/>
      <c r="D965" s="2197" t="s">
        <v>3303</v>
      </c>
      <c r="E965" s="2218" t="s">
        <v>3146</v>
      </c>
      <c r="F965" s="2219" t="s">
        <v>3306</v>
      </c>
      <c r="H965" s="2220">
        <v>928</v>
      </c>
      <c r="L965" s="2217"/>
      <c r="M965" s="2221"/>
      <c r="T965" s="2222"/>
      <c r="AT965" s="2218" t="s">
        <v>3303</v>
      </c>
      <c r="AU965" s="2218" t="s">
        <v>134</v>
      </c>
      <c r="AV965" s="2216" t="s">
        <v>856</v>
      </c>
      <c r="AW965" s="2216" t="s">
        <v>3171</v>
      </c>
      <c r="AX965" s="2216" t="s">
        <v>133</v>
      </c>
      <c r="AY965" s="2218" t="s">
        <v>3285</v>
      </c>
    </row>
    <row r="966" spans="2:65" s="2070" customFormat="1" ht="33" customHeight="1">
      <c r="B966" s="2164"/>
      <c r="C966" s="4608" t="s">
        <v>2092</v>
      </c>
      <c r="D966" s="4608" t="s">
        <v>3286</v>
      </c>
      <c r="E966" s="4609" t="s">
        <v>10947</v>
      </c>
      <c r="F966" s="4610" t="s">
        <v>10948</v>
      </c>
      <c r="G966" s="4611" t="s">
        <v>611</v>
      </c>
      <c r="H966" s="4612">
        <v>1065.71</v>
      </c>
      <c r="I966" s="4613"/>
      <c r="J966" s="4613">
        <f>ROUND(I966*H966,2)</f>
        <v>0</v>
      </c>
      <c r="K966" s="4610" t="s">
        <v>142</v>
      </c>
      <c r="L966" s="2071"/>
      <c r="M966" s="2190" t="s">
        <v>3146</v>
      </c>
      <c r="N966" s="2163" t="s">
        <v>3181</v>
      </c>
      <c r="O966" s="2191">
        <v>0.23200000000000001</v>
      </c>
      <c r="P966" s="2191">
        <f>O966*H966</f>
        <v>247.24472000000003</v>
      </c>
      <c r="Q966" s="2191">
        <v>1.2E-4</v>
      </c>
      <c r="R966" s="2191">
        <f>Q966*H966</f>
        <v>0.1278852</v>
      </c>
      <c r="S966" s="2191">
        <v>0</v>
      </c>
      <c r="T966" s="2192">
        <f>S966*H966</f>
        <v>0</v>
      </c>
      <c r="AR966" s="2193" t="s">
        <v>2894</v>
      </c>
      <c r="AT966" s="2193" t="s">
        <v>3286</v>
      </c>
      <c r="AU966" s="2193" t="s">
        <v>134</v>
      </c>
      <c r="AY966" s="2056" t="s">
        <v>3285</v>
      </c>
      <c r="BE966" s="2194">
        <f>IF(N966="základní",J966,0)</f>
        <v>0</v>
      </c>
      <c r="BF966" s="2194">
        <f>IF(N966="snížená",J966,0)</f>
        <v>0</v>
      </c>
      <c r="BG966" s="2194">
        <f>IF(N966="zákl. přenesená",J966,0)</f>
        <v>0</v>
      </c>
      <c r="BH966" s="2194">
        <f>IF(N966="sníž. přenesená",J966,0)</f>
        <v>0</v>
      </c>
      <c r="BI966" s="2194">
        <f>IF(N966="nulová",J966,0)</f>
        <v>0</v>
      </c>
      <c r="BJ966" s="2056" t="s">
        <v>134</v>
      </c>
      <c r="BK966" s="2194">
        <f>ROUND(I966*H966,2)</f>
        <v>0</v>
      </c>
      <c r="BL966" s="2056" t="s">
        <v>2894</v>
      </c>
      <c r="BM966" s="2193" t="s">
        <v>10949</v>
      </c>
    </row>
    <row r="967" spans="2:65" s="2195" customFormat="1">
      <c r="B967" s="2196"/>
      <c r="D967" s="2197" t="s">
        <v>3303</v>
      </c>
      <c r="E967" s="2198" t="s">
        <v>3146</v>
      </c>
      <c r="F967" s="2199" t="s">
        <v>10820</v>
      </c>
      <c r="H967" s="2198" t="s">
        <v>3146</v>
      </c>
      <c r="L967" s="2196"/>
      <c r="M967" s="2200"/>
      <c r="T967" s="2201"/>
      <c r="AT967" s="2198" t="s">
        <v>3303</v>
      </c>
      <c r="AU967" s="2198" t="s">
        <v>134</v>
      </c>
      <c r="AV967" s="2195" t="s">
        <v>133</v>
      </c>
      <c r="AW967" s="2195" t="s">
        <v>3171</v>
      </c>
      <c r="AX967" s="2195" t="s">
        <v>3213</v>
      </c>
      <c r="AY967" s="2198" t="s">
        <v>3285</v>
      </c>
    </row>
    <row r="968" spans="2:65" s="2209" customFormat="1">
      <c r="B968" s="2210"/>
      <c r="D968" s="2197" t="s">
        <v>3303</v>
      </c>
      <c r="E968" s="2211" t="s">
        <v>3146</v>
      </c>
      <c r="F968" s="2212" t="s">
        <v>10821</v>
      </c>
      <c r="H968" s="2213">
        <v>890</v>
      </c>
      <c r="L968" s="2210"/>
      <c r="M968" s="2214"/>
      <c r="T968" s="2215"/>
      <c r="AT968" s="2211" t="s">
        <v>3303</v>
      </c>
      <c r="AU968" s="2211" t="s">
        <v>134</v>
      </c>
      <c r="AV968" s="2209" t="s">
        <v>134</v>
      </c>
      <c r="AW968" s="2209" t="s">
        <v>3171</v>
      </c>
      <c r="AX968" s="2209" t="s">
        <v>3213</v>
      </c>
      <c r="AY968" s="2211" t="s">
        <v>3285</v>
      </c>
    </row>
    <row r="969" spans="2:65" s="2195" customFormat="1">
      <c r="B969" s="2196"/>
      <c r="D969" s="2197" t="s">
        <v>3303</v>
      </c>
      <c r="E969" s="2198" t="s">
        <v>3146</v>
      </c>
      <c r="F969" s="2199" t="s">
        <v>10822</v>
      </c>
      <c r="H969" s="2198" t="s">
        <v>3146</v>
      </c>
      <c r="L969" s="2196"/>
      <c r="M969" s="2200"/>
      <c r="T969" s="2201"/>
      <c r="AT969" s="2198" t="s">
        <v>3303</v>
      </c>
      <c r="AU969" s="2198" t="s">
        <v>134</v>
      </c>
      <c r="AV969" s="2195" t="s">
        <v>133</v>
      </c>
      <c r="AW969" s="2195" t="s">
        <v>3171</v>
      </c>
      <c r="AX969" s="2195" t="s">
        <v>3213</v>
      </c>
      <c r="AY969" s="2198" t="s">
        <v>3285</v>
      </c>
    </row>
    <row r="970" spans="2:65" s="2209" customFormat="1">
      <c r="B970" s="2210"/>
      <c r="D970" s="2197" t="s">
        <v>3303</v>
      </c>
      <c r="E970" s="2211" t="s">
        <v>3146</v>
      </c>
      <c r="F970" s="2212" t="s">
        <v>685</v>
      </c>
      <c r="H970" s="2213">
        <v>38</v>
      </c>
      <c r="L970" s="2210"/>
      <c r="M970" s="2214"/>
      <c r="T970" s="2215"/>
      <c r="AT970" s="2211" t="s">
        <v>3303</v>
      </c>
      <c r="AU970" s="2211" t="s">
        <v>134</v>
      </c>
      <c r="AV970" s="2209" t="s">
        <v>134</v>
      </c>
      <c r="AW970" s="2209" t="s">
        <v>3171</v>
      </c>
      <c r="AX970" s="2209" t="s">
        <v>3213</v>
      </c>
      <c r="AY970" s="2211" t="s">
        <v>3285</v>
      </c>
    </row>
    <row r="971" spans="2:65" s="2195" customFormat="1">
      <c r="B971" s="2196"/>
      <c r="D971" s="2197" t="s">
        <v>3303</v>
      </c>
      <c r="E971" s="2198" t="s">
        <v>3146</v>
      </c>
      <c r="F971" s="2199" t="s">
        <v>10823</v>
      </c>
      <c r="H971" s="2198" t="s">
        <v>3146</v>
      </c>
      <c r="L971" s="2196"/>
      <c r="M971" s="2200"/>
      <c r="T971" s="2201"/>
      <c r="AT971" s="2198" t="s">
        <v>3303</v>
      </c>
      <c r="AU971" s="2198" t="s">
        <v>134</v>
      </c>
      <c r="AV971" s="2195" t="s">
        <v>133</v>
      </c>
      <c r="AW971" s="2195" t="s">
        <v>3171</v>
      </c>
      <c r="AX971" s="2195" t="s">
        <v>3213</v>
      </c>
      <c r="AY971" s="2198" t="s">
        <v>3285</v>
      </c>
    </row>
    <row r="972" spans="2:65" s="2209" customFormat="1">
      <c r="B972" s="2210"/>
      <c r="D972" s="2197" t="s">
        <v>3303</v>
      </c>
      <c r="E972" s="2211" t="s">
        <v>3146</v>
      </c>
      <c r="F972" s="2212" t="s">
        <v>10824</v>
      </c>
      <c r="H972" s="2213">
        <v>116.1</v>
      </c>
      <c r="L972" s="2210"/>
      <c r="M972" s="2214"/>
      <c r="T972" s="2215"/>
      <c r="AT972" s="2211" t="s">
        <v>3303</v>
      </c>
      <c r="AU972" s="2211" t="s">
        <v>134</v>
      </c>
      <c r="AV972" s="2209" t="s">
        <v>134</v>
      </c>
      <c r="AW972" s="2209" t="s">
        <v>3171</v>
      </c>
      <c r="AX972" s="2209" t="s">
        <v>3213</v>
      </c>
      <c r="AY972" s="2211" t="s">
        <v>3285</v>
      </c>
    </row>
    <row r="973" spans="2:65" s="2195" customFormat="1">
      <c r="B973" s="2196"/>
      <c r="D973" s="2197" t="s">
        <v>3303</v>
      </c>
      <c r="E973" s="2198" t="s">
        <v>3146</v>
      </c>
      <c r="F973" s="2199" t="s">
        <v>10825</v>
      </c>
      <c r="H973" s="2198" t="s">
        <v>3146</v>
      </c>
      <c r="L973" s="2196"/>
      <c r="M973" s="2200"/>
      <c r="T973" s="2201"/>
      <c r="AT973" s="2198" t="s">
        <v>3303</v>
      </c>
      <c r="AU973" s="2198" t="s">
        <v>134</v>
      </c>
      <c r="AV973" s="2195" t="s">
        <v>133</v>
      </c>
      <c r="AW973" s="2195" t="s">
        <v>3171</v>
      </c>
      <c r="AX973" s="2195" t="s">
        <v>3213</v>
      </c>
      <c r="AY973" s="2198" t="s">
        <v>3285</v>
      </c>
    </row>
    <row r="974" spans="2:65" s="2209" customFormat="1">
      <c r="B974" s="2210"/>
      <c r="D974" s="2197" t="s">
        <v>3303</v>
      </c>
      <c r="E974" s="2211" t="s">
        <v>3146</v>
      </c>
      <c r="F974" s="2212" t="s">
        <v>10826</v>
      </c>
      <c r="H974" s="2213">
        <v>21.61</v>
      </c>
      <c r="L974" s="2210"/>
      <c r="M974" s="2214"/>
      <c r="T974" s="2215"/>
      <c r="AT974" s="2211" t="s">
        <v>3303</v>
      </c>
      <c r="AU974" s="2211" t="s">
        <v>134</v>
      </c>
      <c r="AV974" s="2209" t="s">
        <v>134</v>
      </c>
      <c r="AW974" s="2209" t="s">
        <v>3171</v>
      </c>
      <c r="AX974" s="2209" t="s">
        <v>3213</v>
      </c>
      <c r="AY974" s="2211" t="s">
        <v>3285</v>
      </c>
    </row>
    <row r="975" spans="2:65" s="2216" customFormat="1">
      <c r="B975" s="2217"/>
      <c r="D975" s="2197" t="s">
        <v>3303</v>
      </c>
      <c r="E975" s="2218" t="s">
        <v>3146</v>
      </c>
      <c r="F975" s="2219" t="s">
        <v>3306</v>
      </c>
      <c r="H975" s="2220">
        <v>1065.71</v>
      </c>
      <c r="L975" s="2217"/>
      <c r="M975" s="2221"/>
      <c r="T975" s="2222"/>
      <c r="AT975" s="2218" t="s">
        <v>3303</v>
      </c>
      <c r="AU975" s="2218" t="s">
        <v>134</v>
      </c>
      <c r="AV975" s="2216" t="s">
        <v>856</v>
      </c>
      <c r="AW975" s="2216" t="s">
        <v>3171</v>
      </c>
      <c r="AX975" s="2216" t="s">
        <v>133</v>
      </c>
      <c r="AY975" s="2218" t="s">
        <v>3285</v>
      </c>
    </row>
    <row r="976" spans="2:65" s="2070" customFormat="1" ht="16.5" customHeight="1">
      <c r="B976" s="2164"/>
      <c r="C976" s="4614" t="s">
        <v>4214</v>
      </c>
      <c r="D976" s="4614" t="s">
        <v>135</v>
      </c>
      <c r="E976" s="4615" t="s">
        <v>10950</v>
      </c>
      <c r="F976" s="4616" t="s">
        <v>10951</v>
      </c>
      <c r="G976" s="4617" t="s">
        <v>221</v>
      </c>
      <c r="H976" s="4618">
        <v>148.96700000000001</v>
      </c>
      <c r="I976" s="4619"/>
      <c r="J976" s="4619">
        <f>ROUND(I976*H976,2)</f>
        <v>0</v>
      </c>
      <c r="K976" s="4616" t="s">
        <v>3146</v>
      </c>
      <c r="L976" s="2223"/>
      <c r="M976" s="2224" t="s">
        <v>3146</v>
      </c>
      <c r="N976" s="2225" t="s">
        <v>3181</v>
      </c>
      <c r="O976" s="2191">
        <v>0</v>
      </c>
      <c r="P976" s="2191">
        <f>O976*H976</f>
        <v>0</v>
      </c>
      <c r="Q976" s="2191">
        <v>7.4999999999999997E-3</v>
      </c>
      <c r="R976" s="2191">
        <f>Q976*H976</f>
        <v>1.1172525</v>
      </c>
      <c r="S976" s="2191">
        <v>0</v>
      </c>
      <c r="T976" s="2192">
        <f>S976*H976</f>
        <v>0</v>
      </c>
      <c r="AR976" s="2193" t="s">
        <v>3389</v>
      </c>
      <c r="AT976" s="2193" t="s">
        <v>135</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10952</v>
      </c>
    </row>
    <row r="977" spans="2:65" s="2209" customFormat="1">
      <c r="B977" s="2210"/>
      <c r="D977" s="2197" t="s">
        <v>3303</v>
      </c>
      <c r="E977" s="2211" t="s">
        <v>3146</v>
      </c>
      <c r="F977" s="2212" t="s">
        <v>10953</v>
      </c>
      <c r="H977" s="2213">
        <v>124.6</v>
      </c>
      <c r="L977" s="2210"/>
      <c r="M977" s="2214"/>
      <c r="T977" s="2215"/>
      <c r="AT977" s="2211" t="s">
        <v>3303</v>
      </c>
      <c r="AU977" s="2211" t="s">
        <v>134</v>
      </c>
      <c r="AV977" s="2209" t="s">
        <v>134</v>
      </c>
      <c r="AW977" s="2209" t="s">
        <v>3171</v>
      </c>
      <c r="AX977" s="2209" t="s">
        <v>3213</v>
      </c>
      <c r="AY977" s="2211" t="s">
        <v>3285</v>
      </c>
    </row>
    <row r="978" spans="2:65" s="2209" customFormat="1">
      <c r="B978" s="2210"/>
      <c r="D978" s="2197" t="s">
        <v>3303</v>
      </c>
      <c r="E978" s="2211" t="s">
        <v>3146</v>
      </c>
      <c r="F978" s="2212" t="s">
        <v>10954</v>
      </c>
      <c r="H978" s="2213">
        <v>5.32</v>
      </c>
      <c r="L978" s="2210"/>
      <c r="M978" s="2214"/>
      <c r="T978" s="2215"/>
      <c r="AT978" s="2211" t="s">
        <v>3303</v>
      </c>
      <c r="AU978" s="2211" t="s">
        <v>134</v>
      </c>
      <c r="AV978" s="2209" t="s">
        <v>134</v>
      </c>
      <c r="AW978" s="2209" t="s">
        <v>3171</v>
      </c>
      <c r="AX978" s="2209" t="s">
        <v>3213</v>
      </c>
      <c r="AY978" s="2211" t="s">
        <v>3285</v>
      </c>
    </row>
    <row r="979" spans="2:65" s="2209" customFormat="1">
      <c r="B979" s="2210"/>
      <c r="D979" s="2197" t="s">
        <v>3303</v>
      </c>
      <c r="E979" s="2211" t="s">
        <v>3146</v>
      </c>
      <c r="F979" s="2212" t="s">
        <v>10955</v>
      </c>
      <c r="H979" s="2213">
        <v>10.44</v>
      </c>
      <c r="L979" s="2210"/>
      <c r="M979" s="2214"/>
      <c r="T979" s="2215"/>
      <c r="AT979" s="2211" t="s">
        <v>3303</v>
      </c>
      <c r="AU979" s="2211" t="s">
        <v>134</v>
      </c>
      <c r="AV979" s="2209" t="s">
        <v>134</v>
      </c>
      <c r="AW979" s="2209" t="s">
        <v>3171</v>
      </c>
      <c r="AX979" s="2209" t="s">
        <v>3213</v>
      </c>
      <c r="AY979" s="2211" t="s">
        <v>3285</v>
      </c>
    </row>
    <row r="980" spans="2:65" s="2209" customFormat="1">
      <c r="B980" s="2210"/>
      <c r="D980" s="2197" t="s">
        <v>3303</v>
      </c>
      <c r="E980" s="2211" t="s">
        <v>3146</v>
      </c>
      <c r="F980" s="2212" t="s">
        <v>10956</v>
      </c>
      <c r="H980" s="2213">
        <v>1.5129999999999999</v>
      </c>
      <c r="L980" s="2210"/>
      <c r="M980" s="2214"/>
      <c r="T980" s="2215"/>
      <c r="AT980" s="2211" t="s">
        <v>3303</v>
      </c>
      <c r="AU980" s="2211" t="s">
        <v>134</v>
      </c>
      <c r="AV980" s="2209" t="s">
        <v>134</v>
      </c>
      <c r="AW980" s="2209" t="s">
        <v>3171</v>
      </c>
      <c r="AX980" s="2209" t="s">
        <v>3213</v>
      </c>
      <c r="AY980" s="2211" t="s">
        <v>3285</v>
      </c>
    </row>
    <row r="981" spans="2:65" s="2216" customFormat="1">
      <c r="B981" s="2217"/>
      <c r="D981" s="2197" t="s">
        <v>3303</v>
      </c>
      <c r="E981" s="2218" t="s">
        <v>3146</v>
      </c>
      <c r="F981" s="2219" t="s">
        <v>3306</v>
      </c>
      <c r="H981" s="2220">
        <v>141.87299999999999</v>
      </c>
      <c r="L981" s="2217"/>
      <c r="M981" s="2221"/>
      <c r="T981" s="2222"/>
      <c r="AT981" s="2218" t="s">
        <v>3303</v>
      </c>
      <c r="AU981" s="2218" t="s">
        <v>134</v>
      </c>
      <c r="AV981" s="2216" t="s">
        <v>856</v>
      </c>
      <c r="AW981" s="2216" t="s">
        <v>3171</v>
      </c>
      <c r="AX981" s="2216" t="s">
        <v>133</v>
      </c>
      <c r="AY981" s="2218" t="s">
        <v>3285</v>
      </c>
    </row>
    <row r="982" spans="2:65" s="2209" customFormat="1">
      <c r="B982" s="2210"/>
      <c r="D982" s="2197" t="s">
        <v>3303</v>
      </c>
      <c r="F982" s="2212" t="s">
        <v>10957</v>
      </c>
      <c r="H982" s="2213">
        <v>148.96700000000001</v>
      </c>
      <c r="L982" s="2210"/>
      <c r="M982" s="2214"/>
      <c r="T982" s="2215"/>
      <c r="AT982" s="2211" t="s">
        <v>3303</v>
      </c>
      <c r="AU982" s="2211" t="s">
        <v>134</v>
      </c>
      <c r="AV982" s="2209" t="s">
        <v>134</v>
      </c>
      <c r="AW982" s="2209" t="s">
        <v>3148</v>
      </c>
      <c r="AX982" s="2209" t="s">
        <v>133</v>
      </c>
      <c r="AY982" s="2211" t="s">
        <v>3285</v>
      </c>
    </row>
    <row r="983" spans="2:65" s="2070" customFormat="1" ht="24.2" customHeight="1">
      <c r="B983" s="2164"/>
      <c r="C983" s="4608" t="s">
        <v>4218</v>
      </c>
      <c r="D983" s="4608" t="s">
        <v>3286</v>
      </c>
      <c r="E983" s="4609" t="s">
        <v>4377</v>
      </c>
      <c r="F983" s="4610" t="s">
        <v>4378</v>
      </c>
      <c r="G983" s="4611" t="s">
        <v>302</v>
      </c>
      <c r="H983" s="4612">
        <v>34.231999999999999</v>
      </c>
      <c r="I983" s="4613"/>
      <c r="J983" s="4613">
        <f>ROUND(I983*H983,2)</f>
        <v>0</v>
      </c>
      <c r="K983" s="4610" t="s">
        <v>142</v>
      </c>
      <c r="L983" s="2071"/>
      <c r="M983" s="2190" t="s">
        <v>3146</v>
      </c>
      <c r="N983" s="2163" t="s">
        <v>3181</v>
      </c>
      <c r="O983" s="2191">
        <v>1.966</v>
      </c>
      <c r="P983" s="2191">
        <f>O983*H983</f>
        <v>67.300111999999999</v>
      </c>
      <c r="Q983" s="2191">
        <v>0</v>
      </c>
      <c r="R983" s="2191">
        <f>Q983*H983</f>
        <v>0</v>
      </c>
      <c r="S983" s="2191">
        <v>0</v>
      </c>
      <c r="T983" s="2192">
        <f>S983*H983</f>
        <v>0</v>
      </c>
      <c r="AR983" s="2193" t="s">
        <v>2894</v>
      </c>
      <c r="AT983" s="2193" t="s">
        <v>3286</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10958</v>
      </c>
    </row>
    <row r="984" spans="2:65" s="2070" customFormat="1" ht="24.2" customHeight="1">
      <c r="B984" s="2164"/>
      <c r="C984" s="4608" t="s">
        <v>4222</v>
      </c>
      <c r="D984" s="4608" t="s">
        <v>3286</v>
      </c>
      <c r="E984" s="4609" t="s">
        <v>4380</v>
      </c>
      <c r="F984" s="4610" t="s">
        <v>4381</v>
      </c>
      <c r="G984" s="4611" t="s">
        <v>302</v>
      </c>
      <c r="H984" s="4612">
        <v>34.231999999999999</v>
      </c>
      <c r="I984" s="4613"/>
      <c r="J984" s="4613">
        <f>ROUND(I984*H984,2)</f>
        <v>0</v>
      </c>
      <c r="K984" s="4610" t="s">
        <v>142</v>
      </c>
      <c r="L984" s="2071"/>
      <c r="M984" s="2190" t="s">
        <v>3146</v>
      </c>
      <c r="N984" s="2163" t="s">
        <v>3181</v>
      </c>
      <c r="O984" s="2191">
        <v>1.45</v>
      </c>
      <c r="P984" s="2191">
        <f>O984*H984</f>
        <v>49.636399999999995</v>
      </c>
      <c r="Q984" s="2191">
        <v>0</v>
      </c>
      <c r="R984" s="2191">
        <f>Q984*H984</f>
        <v>0</v>
      </c>
      <c r="S984" s="2191">
        <v>0</v>
      </c>
      <c r="T984" s="2192">
        <f>S984*H984</f>
        <v>0</v>
      </c>
      <c r="AR984" s="2193" t="s">
        <v>2894</v>
      </c>
      <c r="AT984" s="2193" t="s">
        <v>3286</v>
      </c>
      <c r="AU984" s="2193" t="s">
        <v>134</v>
      </c>
      <c r="AY984" s="2056" t="s">
        <v>3285</v>
      </c>
      <c r="BE984" s="2194">
        <f>IF(N984="základní",J984,0)</f>
        <v>0</v>
      </c>
      <c r="BF984" s="2194">
        <f>IF(N984="snížená",J984,0)</f>
        <v>0</v>
      </c>
      <c r="BG984" s="2194">
        <f>IF(N984="zákl. přenesená",J984,0)</f>
        <v>0</v>
      </c>
      <c r="BH984" s="2194">
        <f>IF(N984="sníž. přenesená",J984,0)</f>
        <v>0</v>
      </c>
      <c r="BI984" s="2194">
        <f>IF(N984="nulová",J984,0)</f>
        <v>0</v>
      </c>
      <c r="BJ984" s="2056" t="s">
        <v>134</v>
      </c>
      <c r="BK984" s="2194">
        <f>ROUND(I984*H984,2)</f>
        <v>0</v>
      </c>
      <c r="BL984" s="2056" t="s">
        <v>2894</v>
      </c>
      <c r="BM984" s="2193" t="s">
        <v>10959</v>
      </c>
    </row>
    <row r="985" spans="2:65" s="2178" customFormat="1" ht="22.9" customHeight="1">
      <c r="B985" s="2179"/>
      <c r="D985" s="2180" t="s">
        <v>3212</v>
      </c>
      <c r="E985" s="2188" t="s">
        <v>4036</v>
      </c>
      <c r="F985" s="2188" t="s">
        <v>4037</v>
      </c>
      <c r="J985" s="2189">
        <f>BK985</f>
        <v>0</v>
      </c>
      <c r="L985" s="2179"/>
      <c r="M985" s="2183"/>
      <c r="P985" s="2184">
        <f>SUM(P986:P1075)</f>
        <v>2766.2996279999998</v>
      </c>
      <c r="R985" s="2184">
        <f>SUM(R986:R1075)</f>
        <v>30.969443690000002</v>
      </c>
      <c r="T985" s="2185">
        <f>SUM(T986:T1075)</f>
        <v>0</v>
      </c>
      <c r="AR985" s="2180" t="s">
        <v>134</v>
      </c>
      <c r="AT985" s="2186" t="s">
        <v>3212</v>
      </c>
      <c r="AU985" s="2186" t="s">
        <v>133</v>
      </c>
      <c r="AY985" s="2180" t="s">
        <v>3285</v>
      </c>
      <c r="BK985" s="2187">
        <f>SUM(BK986:BK1075)</f>
        <v>0</v>
      </c>
    </row>
    <row r="986" spans="2:65" s="2070" customFormat="1" ht="24.2" customHeight="1">
      <c r="B986" s="2164"/>
      <c r="C986" s="5561" t="s">
        <v>4226</v>
      </c>
      <c r="D986" s="4608" t="s">
        <v>3286</v>
      </c>
      <c r="E986" s="4609" t="s">
        <v>4039</v>
      </c>
      <c r="F986" s="4610" t="s">
        <v>4040</v>
      </c>
      <c r="G986" s="4611" t="s">
        <v>611</v>
      </c>
      <c r="H986" s="4612">
        <v>73.575999999999993</v>
      </c>
      <c r="I986" s="5874" t="s">
        <v>11555</v>
      </c>
      <c r="J986" s="5875"/>
      <c r="K986" s="4610" t="s">
        <v>142</v>
      </c>
      <c r="L986" s="2071"/>
      <c r="M986" s="2190" t="s">
        <v>3146</v>
      </c>
      <c r="N986" s="2163" t="s">
        <v>3181</v>
      </c>
      <c r="O986" s="2191">
        <v>0.96799999999999997</v>
      </c>
      <c r="P986" s="2191">
        <f>O986*H986</f>
        <v>71.221567999999991</v>
      </c>
      <c r="Q986" s="2191">
        <v>1.3849999999999999E-2</v>
      </c>
      <c r="R986" s="2191">
        <f>Q986*H986</f>
        <v>1.0190275999999998</v>
      </c>
      <c r="S986" s="2191">
        <v>0</v>
      </c>
      <c r="T986" s="2192">
        <f>S986*H986</f>
        <v>0</v>
      </c>
      <c r="AR986" s="2193" t="s">
        <v>2894</v>
      </c>
      <c r="AT986" s="2193" t="s">
        <v>3286</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v>0</v>
      </c>
      <c r="BL986" s="2056" t="s">
        <v>2894</v>
      </c>
      <c r="BM986" s="2193" t="s">
        <v>4041</v>
      </c>
    </row>
    <row r="987" spans="2:65" s="2195" customFormat="1">
      <c r="B987" s="2196"/>
      <c r="D987" s="2197" t="s">
        <v>3303</v>
      </c>
      <c r="E987" s="2198" t="s">
        <v>3146</v>
      </c>
      <c r="F987" s="2199" t="s">
        <v>3580</v>
      </c>
      <c r="H987" s="2198" t="s">
        <v>3146</v>
      </c>
      <c r="L987" s="2196"/>
      <c r="M987" s="2200"/>
      <c r="T987" s="2201"/>
      <c r="AT987" s="2198" t="s">
        <v>3303</v>
      </c>
      <c r="AU987" s="2198" t="s">
        <v>134</v>
      </c>
      <c r="AV987" s="2195" t="s">
        <v>133</v>
      </c>
      <c r="AW987" s="2195" t="s">
        <v>3171</v>
      </c>
      <c r="AX987" s="2195" t="s">
        <v>3213</v>
      </c>
      <c r="AY987" s="2198" t="s">
        <v>3285</v>
      </c>
    </row>
    <row r="988" spans="2:65" s="2209" customFormat="1">
      <c r="B988" s="2210"/>
      <c r="D988" s="2197" t="s">
        <v>3303</v>
      </c>
      <c r="E988" s="2211" t="s">
        <v>3146</v>
      </c>
      <c r="F988" s="2212" t="s">
        <v>4042</v>
      </c>
      <c r="H988" s="2213">
        <v>73.575999999999993</v>
      </c>
      <c r="L988" s="2210"/>
      <c r="M988" s="2214"/>
      <c r="T988" s="2215"/>
      <c r="AT988" s="2211" t="s">
        <v>3303</v>
      </c>
      <c r="AU988" s="2211" t="s">
        <v>134</v>
      </c>
      <c r="AV988" s="2209" t="s">
        <v>134</v>
      </c>
      <c r="AW988" s="2209" t="s">
        <v>3171</v>
      </c>
      <c r="AX988" s="2209" t="s">
        <v>3213</v>
      </c>
      <c r="AY988" s="2211" t="s">
        <v>3285</v>
      </c>
    </row>
    <row r="989" spans="2:65" s="2216" customFormat="1">
      <c r="B989" s="2217"/>
      <c r="D989" s="2197" t="s">
        <v>3303</v>
      </c>
      <c r="E989" s="2218" t="s">
        <v>3146</v>
      </c>
      <c r="F989" s="2219" t="s">
        <v>3306</v>
      </c>
      <c r="H989" s="2220">
        <v>73.575999999999993</v>
      </c>
      <c r="L989" s="2217"/>
      <c r="M989" s="2221"/>
      <c r="T989" s="2222"/>
      <c r="AT989" s="2218" t="s">
        <v>3303</v>
      </c>
      <c r="AU989" s="2218" t="s">
        <v>134</v>
      </c>
      <c r="AV989" s="2216" t="s">
        <v>856</v>
      </c>
      <c r="AW989" s="2216" t="s">
        <v>3171</v>
      </c>
      <c r="AX989" s="2216" t="s">
        <v>133</v>
      </c>
      <c r="AY989" s="2218" t="s">
        <v>3285</v>
      </c>
    </row>
    <row r="990" spans="2:65" s="2070" customFormat="1" ht="24.2" customHeight="1">
      <c r="B990" s="2164"/>
      <c r="C990" s="5561" t="s">
        <v>4230</v>
      </c>
      <c r="D990" s="4608" t="s">
        <v>3286</v>
      </c>
      <c r="E990" s="4609" t="s">
        <v>4052</v>
      </c>
      <c r="F990" s="4610" t="s">
        <v>4053</v>
      </c>
      <c r="G990" s="4611" t="s">
        <v>611</v>
      </c>
      <c r="H990" s="4612">
        <v>126.68</v>
      </c>
      <c r="I990" s="5874" t="s">
        <v>11555</v>
      </c>
      <c r="J990" s="5875"/>
      <c r="K990" s="4610" t="s">
        <v>142</v>
      </c>
      <c r="L990" s="2071"/>
      <c r="M990" s="2190" t="s">
        <v>3146</v>
      </c>
      <c r="N990" s="2163" t="s">
        <v>3181</v>
      </c>
      <c r="O990" s="2191">
        <v>1.04</v>
      </c>
      <c r="P990" s="2191">
        <f>O990*H990</f>
        <v>131.74720000000002</v>
      </c>
      <c r="Q990" s="2191">
        <v>1.6080000000000001E-2</v>
      </c>
      <c r="R990" s="2191">
        <f>Q990*H990</f>
        <v>2.0370144000000003</v>
      </c>
      <c r="S990" s="2191">
        <v>0</v>
      </c>
      <c r="T990" s="2192">
        <f>S990*H990</f>
        <v>0</v>
      </c>
      <c r="AR990" s="2193" t="s">
        <v>2894</v>
      </c>
      <c r="AT990" s="2193" t="s">
        <v>3286</v>
      </c>
      <c r="AU990" s="2193" t="s">
        <v>134</v>
      </c>
      <c r="AY990" s="2056" t="s">
        <v>3285</v>
      </c>
      <c r="BE990" s="2194">
        <f>IF(N990="základní",J990,0)</f>
        <v>0</v>
      </c>
      <c r="BF990" s="2194">
        <f>IF(N990="snížená",J990,0)</f>
        <v>0</v>
      </c>
      <c r="BG990" s="2194">
        <f>IF(N990="zákl. přenesená",J990,0)</f>
        <v>0</v>
      </c>
      <c r="BH990" s="2194">
        <f>IF(N990="sníž. přenesená",J990,0)</f>
        <v>0</v>
      </c>
      <c r="BI990" s="2194">
        <f>IF(N990="nulová",J990,0)</f>
        <v>0</v>
      </c>
      <c r="BJ990" s="2056" t="s">
        <v>134</v>
      </c>
      <c r="BK990" s="2194">
        <v>0</v>
      </c>
      <c r="BL990" s="2056" t="s">
        <v>2894</v>
      </c>
      <c r="BM990" s="2193" t="s">
        <v>4054</v>
      </c>
    </row>
    <row r="991" spans="2:65" s="2195" customFormat="1">
      <c r="B991" s="2196"/>
      <c r="D991" s="2197" t="s">
        <v>3303</v>
      </c>
      <c r="E991" s="2198" t="s">
        <v>3146</v>
      </c>
      <c r="F991" s="2199" t="s">
        <v>3661</v>
      </c>
      <c r="H991" s="2198" t="s">
        <v>3146</v>
      </c>
      <c r="L991" s="2196"/>
      <c r="M991" s="2200"/>
      <c r="T991" s="2201"/>
      <c r="AT991" s="2198" t="s">
        <v>3303</v>
      </c>
      <c r="AU991" s="2198" t="s">
        <v>134</v>
      </c>
      <c r="AV991" s="2195" t="s">
        <v>133</v>
      </c>
      <c r="AW991" s="2195" t="s">
        <v>3171</v>
      </c>
      <c r="AX991" s="2195" t="s">
        <v>3213</v>
      </c>
      <c r="AY991" s="2198" t="s">
        <v>3285</v>
      </c>
    </row>
    <row r="992" spans="2:65" s="2209" customFormat="1">
      <c r="B992" s="2210"/>
      <c r="D992" s="2197" t="s">
        <v>3303</v>
      </c>
      <c r="E992" s="2211" t="s">
        <v>3146</v>
      </c>
      <c r="F992" s="2212" t="s">
        <v>4055</v>
      </c>
      <c r="H992" s="2213">
        <v>43.027999999999999</v>
      </c>
      <c r="L992" s="2210"/>
      <c r="M992" s="2214"/>
      <c r="T992" s="2215"/>
      <c r="AT992" s="2211" t="s">
        <v>3303</v>
      </c>
      <c r="AU992" s="2211" t="s">
        <v>134</v>
      </c>
      <c r="AV992" s="2209" t="s">
        <v>134</v>
      </c>
      <c r="AW992" s="2209" t="s">
        <v>3171</v>
      </c>
      <c r="AX992" s="2209" t="s">
        <v>3213</v>
      </c>
      <c r="AY992" s="2211" t="s">
        <v>3285</v>
      </c>
    </row>
    <row r="993" spans="2:65" s="2195" customFormat="1">
      <c r="B993" s="2196"/>
      <c r="D993" s="2197" t="s">
        <v>3303</v>
      </c>
      <c r="E993" s="2198" t="s">
        <v>3146</v>
      </c>
      <c r="F993" s="2199" t="s">
        <v>3578</v>
      </c>
      <c r="H993" s="2198" t="s">
        <v>3146</v>
      </c>
      <c r="L993" s="2196"/>
      <c r="M993" s="2200"/>
      <c r="T993" s="2201"/>
      <c r="AT993" s="2198" t="s">
        <v>3303</v>
      </c>
      <c r="AU993" s="2198" t="s">
        <v>134</v>
      </c>
      <c r="AV993" s="2195" t="s">
        <v>133</v>
      </c>
      <c r="AW993" s="2195" t="s">
        <v>3171</v>
      </c>
      <c r="AX993" s="2195" t="s">
        <v>3213</v>
      </c>
      <c r="AY993" s="2198" t="s">
        <v>3285</v>
      </c>
    </row>
    <row r="994" spans="2:65" s="2209" customFormat="1">
      <c r="B994" s="2210"/>
      <c r="D994" s="2197" t="s">
        <v>3303</v>
      </c>
      <c r="E994" s="2211" t="s">
        <v>3146</v>
      </c>
      <c r="F994" s="2212" t="s">
        <v>4056</v>
      </c>
      <c r="H994" s="2213">
        <v>83.652000000000001</v>
      </c>
      <c r="L994" s="2210"/>
      <c r="M994" s="2214"/>
      <c r="T994" s="2215"/>
      <c r="AT994" s="2211" t="s">
        <v>3303</v>
      </c>
      <c r="AU994" s="2211" t="s">
        <v>134</v>
      </c>
      <c r="AV994" s="2209" t="s">
        <v>134</v>
      </c>
      <c r="AW994" s="2209" t="s">
        <v>3171</v>
      </c>
      <c r="AX994" s="2209" t="s">
        <v>3213</v>
      </c>
      <c r="AY994" s="2211" t="s">
        <v>3285</v>
      </c>
    </row>
    <row r="995" spans="2:65" s="2195" customFormat="1">
      <c r="B995" s="2196"/>
      <c r="D995" s="2197" t="s">
        <v>3303</v>
      </c>
      <c r="E995" s="2198" t="s">
        <v>3146</v>
      </c>
      <c r="F995" s="2199" t="s">
        <v>4057</v>
      </c>
      <c r="H995" s="2198" t="s">
        <v>3146</v>
      </c>
      <c r="L995" s="2196"/>
      <c r="M995" s="2200"/>
      <c r="T995" s="2201"/>
      <c r="AT995" s="2198" t="s">
        <v>3303</v>
      </c>
      <c r="AU995" s="2198" t="s">
        <v>134</v>
      </c>
      <c r="AV995" s="2195" t="s">
        <v>133</v>
      </c>
      <c r="AW995" s="2195" t="s">
        <v>3171</v>
      </c>
      <c r="AX995" s="2195" t="s">
        <v>3213</v>
      </c>
      <c r="AY995" s="2198" t="s">
        <v>3285</v>
      </c>
    </row>
    <row r="996" spans="2:65" s="2216" customFormat="1">
      <c r="B996" s="2217"/>
      <c r="D996" s="2197" t="s">
        <v>3303</v>
      </c>
      <c r="E996" s="2218" t="s">
        <v>3146</v>
      </c>
      <c r="F996" s="2219" t="s">
        <v>3306</v>
      </c>
      <c r="H996" s="2220">
        <v>126.68</v>
      </c>
      <c r="L996" s="2217"/>
      <c r="M996" s="2221"/>
      <c r="T996" s="2222"/>
      <c r="AT996" s="2218" t="s">
        <v>3303</v>
      </c>
      <c r="AU996" s="2218" t="s">
        <v>134</v>
      </c>
      <c r="AV996" s="2216" t="s">
        <v>856</v>
      </c>
      <c r="AW996" s="2216" t="s">
        <v>3171</v>
      </c>
      <c r="AX996" s="2216" t="s">
        <v>133</v>
      </c>
      <c r="AY996" s="2218" t="s">
        <v>3285</v>
      </c>
    </row>
    <row r="997" spans="2:65" s="2070" customFormat="1" ht="24.2" customHeight="1">
      <c r="B997" s="2164"/>
      <c r="C997" s="5561" t="s">
        <v>11765</v>
      </c>
      <c r="D997" s="5561" t="s">
        <v>3286</v>
      </c>
      <c r="E997" s="5567" t="s">
        <v>11766</v>
      </c>
      <c r="F997" s="5566" t="s">
        <v>11767</v>
      </c>
      <c r="G997" s="5570" t="s">
        <v>611</v>
      </c>
      <c r="H997" s="5568">
        <f>H1005</f>
        <v>569.75</v>
      </c>
      <c r="I997" s="4613"/>
      <c r="J997" s="5571">
        <f>ROUND(I997*H997,2)</f>
        <v>0</v>
      </c>
      <c r="K997" s="5566" t="s">
        <v>142</v>
      </c>
      <c r="L997" s="2071"/>
      <c r="M997" s="2190" t="s">
        <v>3146</v>
      </c>
      <c r="N997" s="2163" t="s">
        <v>3181</v>
      </c>
      <c r="O997" s="2191">
        <v>1.04</v>
      </c>
      <c r="P997" s="2191">
        <f>O997*H997</f>
        <v>592.54</v>
      </c>
      <c r="Q997" s="2191">
        <v>1.6080000000000001E-2</v>
      </c>
      <c r="R997" s="2191">
        <f>Q997*H997</f>
        <v>9.1615800000000007</v>
      </c>
      <c r="S997" s="2191">
        <v>0</v>
      </c>
      <c r="T997" s="2192">
        <f>S997*H997</f>
        <v>0</v>
      </c>
      <c r="AR997" s="2193" t="s">
        <v>2894</v>
      </c>
      <c r="AT997" s="2193" t="s">
        <v>3286</v>
      </c>
      <c r="AU997" s="2193" t="s">
        <v>134</v>
      </c>
      <c r="AY997" s="2056" t="s">
        <v>3285</v>
      </c>
      <c r="BE997" s="2194">
        <f>IF(N997="základní",J997,0)</f>
        <v>0</v>
      </c>
      <c r="BF997" s="2194">
        <f>IF(N997="snížená",J997,0)</f>
        <v>0</v>
      </c>
      <c r="BG997" s="2194">
        <f>IF(N997="zákl. přenesená",J997,0)</f>
        <v>0</v>
      </c>
      <c r="BH997" s="2194">
        <f>IF(N997="sníž. přenesená",J997,0)</f>
        <v>0</v>
      </c>
      <c r="BI997" s="2194">
        <f>IF(N997="nulová",J997,0)</f>
        <v>0</v>
      </c>
      <c r="BJ997" s="2056" t="s">
        <v>134</v>
      </c>
      <c r="BK997" s="2194">
        <v>0</v>
      </c>
      <c r="BL997" s="2056" t="s">
        <v>2894</v>
      </c>
      <c r="BM997" s="2193" t="s">
        <v>4054</v>
      </c>
    </row>
    <row r="998" spans="2:65" s="2195" customFormat="1">
      <c r="B998" s="2196"/>
      <c r="D998" s="5648" t="s">
        <v>3303</v>
      </c>
      <c r="E998" s="5608" t="s">
        <v>3146</v>
      </c>
      <c r="F998" s="5560" t="s">
        <v>11768</v>
      </c>
      <c r="G998" s="5574"/>
      <c r="H998" s="5608" t="s">
        <v>3146</v>
      </c>
      <c r="I998" s="5574"/>
      <c r="J998" s="5574"/>
      <c r="K998" s="5574"/>
      <c r="L998" s="2196"/>
      <c r="M998" s="2200"/>
      <c r="T998" s="2201"/>
      <c r="AT998" s="2198" t="s">
        <v>3303</v>
      </c>
      <c r="AU998" s="2198" t="s">
        <v>134</v>
      </c>
      <c r="AV998" s="2195" t="s">
        <v>133</v>
      </c>
      <c r="AW998" s="2195" t="s">
        <v>3171</v>
      </c>
      <c r="AX998" s="2195" t="s">
        <v>3213</v>
      </c>
      <c r="AY998" s="2198" t="s">
        <v>3285</v>
      </c>
    </row>
    <row r="999" spans="2:65" s="2195" customFormat="1">
      <c r="B999" s="2196"/>
      <c r="D999" s="5648" t="s">
        <v>3303</v>
      </c>
      <c r="E999" s="5608" t="s">
        <v>3146</v>
      </c>
      <c r="F999" s="5560" t="s">
        <v>3661</v>
      </c>
      <c r="G999" s="5574"/>
      <c r="H999" s="5608" t="s">
        <v>3146</v>
      </c>
      <c r="I999" s="5574"/>
      <c r="J999" s="5574"/>
      <c r="K999" s="5574"/>
      <c r="L999" s="2196"/>
      <c r="M999" s="2200"/>
      <c r="T999" s="2201"/>
      <c r="AT999" s="2198" t="s">
        <v>3303</v>
      </c>
      <c r="AU999" s="2198" t="s">
        <v>134</v>
      </c>
      <c r="AV999" s="2195" t="s">
        <v>133</v>
      </c>
      <c r="AW999" s="2195" t="s">
        <v>3171</v>
      </c>
      <c r="AX999" s="2195" t="s">
        <v>3213</v>
      </c>
      <c r="AY999" s="2198" t="s">
        <v>3285</v>
      </c>
    </row>
    <row r="1000" spans="2:65" s="2209" customFormat="1">
      <c r="B1000" s="2210"/>
      <c r="D1000" s="5648" t="s">
        <v>3303</v>
      </c>
      <c r="E1000" s="5608" t="s">
        <v>3146</v>
      </c>
      <c r="F1000" s="5560">
        <v>165.46</v>
      </c>
      <c r="G1000" s="5574"/>
      <c r="H1000" s="5569">
        <v>165.46</v>
      </c>
      <c r="I1000" s="5574"/>
      <c r="J1000" s="5574"/>
      <c r="K1000" s="5574"/>
      <c r="L1000" s="2210"/>
      <c r="M1000" s="2214"/>
      <c r="T1000" s="2215"/>
      <c r="AT1000" s="2211" t="s">
        <v>3303</v>
      </c>
      <c r="AU1000" s="2211" t="s">
        <v>134</v>
      </c>
      <c r="AV1000" s="2209" t="s">
        <v>134</v>
      </c>
      <c r="AW1000" s="2209" t="s">
        <v>3171</v>
      </c>
      <c r="AX1000" s="2209" t="s">
        <v>3213</v>
      </c>
      <c r="AY1000" s="2211" t="s">
        <v>3285</v>
      </c>
    </row>
    <row r="1001" spans="2:65" s="2195" customFormat="1">
      <c r="B1001" s="2196"/>
      <c r="D1001" s="5648" t="s">
        <v>3303</v>
      </c>
      <c r="E1001" s="5608" t="s">
        <v>3146</v>
      </c>
      <c r="F1001" s="5560" t="s">
        <v>3578</v>
      </c>
      <c r="G1001" s="5574"/>
      <c r="H1001" s="5608" t="s">
        <v>3146</v>
      </c>
      <c r="I1001" s="5574"/>
      <c r="J1001" s="5574"/>
      <c r="K1001" s="5574"/>
      <c r="L1001" s="2196"/>
      <c r="M1001" s="2200"/>
      <c r="T1001" s="2201"/>
      <c r="AT1001" s="2198" t="s">
        <v>3303</v>
      </c>
      <c r="AU1001" s="2198" t="s">
        <v>134</v>
      </c>
      <c r="AV1001" s="2195" t="s">
        <v>133</v>
      </c>
      <c r="AW1001" s="2195" t="s">
        <v>3171</v>
      </c>
      <c r="AX1001" s="2195" t="s">
        <v>3213</v>
      </c>
      <c r="AY1001" s="2198" t="s">
        <v>3285</v>
      </c>
    </row>
    <row r="1002" spans="2:65" s="2209" customFormat="1">
      <c r="B1002" s="2210"/>
      <c r="D1002" s="5648" t="s">
        <v>3303</v>
      </c>
      <c r="E1002" s="5608" t="s">
        <v>3146</v>
      </c>
      <c r="F1002" s="5560">
        <v>184</v>
      </c>
      <c r="G1002" s="5574"/>
      <c r="H1002" s="5569">
        <v>184</v>
      </c>
      <c r="I1002" s="5574"/>
      <c r="J1002" s="5574"/>
      <c r="K1002" s="5574"/>
      <c r="L1002" s="2210"/>
      <c r="M1002" s="2214"/>
      <c r="T1002" s="2215"/>
      <c r="AT1002" s="2211" t="s">
        <v>3303</v>
      </c>
      <c r="AU1002" s="2211" t="s">
        <v>134</v>
      </c>
      <c r="AV1002" s="2209" t="s">
        <v>134</v>
      </c>
      <c r="AW1002" s="2209" t="s">
        <v>3171</v>
      </c>
      <c r="AX1002" s="2209" t="s">
        <v>3213</v>
      </c>
      <c r="AY1002" s="2211" t="s">
        <v>3285</v>
      </c>
    </row>
    <row r="1003" spans="2:65" s="2195" customFormat="1">
      <c r="B1003" s="2196"/>
      <c r="D1003" s="5648" t="s">
        <v>3303</v>
      </c>
      <c r="E1003" s="5608" t="s">
        <v>3146</v>
      </c>
      <c r="F1003" s="5560" t="s">
        <v>3580</v>
      </c>
      <c r="G1003" s="5574"/>
      <c r="H1003" s="5608" t="s">
        <v>3146</v>
      </c>
      <c r="I1003" s="5574"/>
      <c r="J1003" s="5574"/>
      <c r="K1003" s="5574"/>
      <c r="L1003" s="2196"/>
      <c r="M1003" s="2200"/>
      <c r="T1003" s="2201"/>
      <c r="AT1003" s="2198" t="s">
        <v>3303</v>
      </c>
      <c r="AU1003" s="2198" t="s">
        <v>134</v>
      </c>
      <c r="AV1003" s="2195" t="s">
        <v>133</v>
      </c>
      <c r="AW1003" s="2195" t="s">
        <v>3171</v>
      </c>
      <c r="AX1003" s="2195" t="s">
        <v>3213</v>
      </c>
      <c r="AY1003" s="2198" t="s">
        <v>3285</v>
      </c>
    </row>
    <row r="1004" spans="2:65" s="2209" customFormat="1">
      <c r="B1004" s="2210"/>
      <c r="D1004" s="5648" t="s">
        <v>3303</v>
      </c>
      <c r="E1004" s="5608" t="s">
        <v>3146</v>
      </c>
      <c r="F1004" s="5560">
        <v>220.29</v>
      </c>
      <c r="G1004" s="5574"/>
      <c r="H1004" s="5569">
        <v>220.29</v>
      </c>
      <c r="I1004" s="5574"/>
      <c r="J1004" s="5574"/>
      <c r="K1004" s="5574"/>
      <c r="L1004" s="2210"/>
      <c r="M1004" s="2214"/>
      <c r="T1004" s="2215"/>
      <c r="AT1004" s="2211" t="s">
        <v>3303</v>
      </c>
      <c r="AU1004" s="2211" t="s">
        <v>134</v>
      </c>
      <c r="AV1004" s="2209" t="s">
        <v>134</v>
      </c>
      <c r="AW1004" s="2209" t="s">
        <v>3171</v>
      </c>
      <c r="AX1004" s="2209" t="s">
        <v>3213</v>
      </c>
      <c r="AY1004" s="2211" t="s">
        <v>3285</v>
      </c>
    </row>
    <row r="1005" spans="2:65" s="2216" customFormat="1">
      <c r="B1005" s="2217"/>
      <c r="D1005" s="5648" t="s">
        <v>3303</v>
      </c>
      <c r="E1005" s="5608" t="s">
        <v>3146</v>
      </c>
      <c r="F1005" s="5560" t="s">
        <v>3306</v>
      </c>
      <c r="G1005" s="5574"/>
      <c r="H1005" s="5569">
        <f>SUM(H998:H1004)</f>
        <v>569.75</v>
      </c>
      <c r="I1005" s="5574"/>
      <c r="J1005" s="5574"/>
      <c r="K1005" s="5574"/>
      <c r="L1005" s="2217"/>
      <c r="M1005" s="2221"/>
      <c r="T1005" s="2222"/>
      <c r="AT1005" s="2218" t="s">
        <v>3303</v>
      </c>
      <c r="AU1005" s="2218" t="s">
        <v>134</v>
      </c>
      <c r="AV1005" s="2216" t="s">
        <v>856</v>
      </c>
      <c r="AW1005" s="2216" t="s">
        <v>3171</v>
      </c>
      <c r="AX1005" s="2216" t="s">
        <v>133</v>
      </c>
      <c r="AY1005" s="2218" t="s">
        <v>3285</v>
      </c>
    </row>
    <row r="1006" spans="2:65" s="2070" customFormat="1" ht="33" customHeight="1">
      <c r="B1006" s="2164"/>
      <c r="C1006" s="5561" t="s">
        <v>4236</v>
      </c>
      <c r="D1006" s="4608" t="s">
        <v>3286</v>
      </c>
      <c r="E1006" s="4609" t="s">
        <v>4059</v>
      </c>
      <c r="F1006" s="4610" t="s">
        <v>4060</v>
      </c>
      <c r="G1006" s="4611" t="s">
        <v>611</v>
      </c>
      <c r="H1006" s="5568">
        <f>H1014</f>
        <v>635</v>
      </c>
      <c r="I1006" s="4613"/>
      <c r="J1006" s="4613">
        <f>ROUND(I1006*H1006,2)</f>
        <v>0</v>
      </c>
      <c r="K1006" s="4610" t="s">
        <v>142</v>
      </c>
      <c r="L1006" s="2071"/>
      <c r="M1006" s="2190" t="s">
        <v>3146</v>
      </c>
      <c r="N1006" s="2163" t="s">
        <v>3181</v>
      </c>
      <c r="O1006" s="2191">
        <v>1.04</v>
      </c>
      <c r="P1006" s="2191">
        <f>O1006*H1006</f>
        <v>660.4</v>
      </c>
      <c r="Q1006" s="2191">
        <v>1.525E-2</v>
      </c>
      <c r="R1006" s="2191">
        <f>Q1006*H1006</f>
        <v>9.6837499999999999</v>
      </c>
      <c r="S1006" s="2191">
        <v>0</v>
      </c>
      <c r="T1006" s="2192">
        <f>S1006*H1006</f>
        <v>0</v>
      </c>
      <c r="AR1006" s="2193" t="s">
        <v>2894</v>
      </c>
      <c r="AT1006" s="2193" t="s">
        <v>3286</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4061</v>
      </c>
    </row>
    <row r="1007" spans="2:65" s="2195" customFormat="1">
      <c r="B1007" s="2196"/>
      <c r="D1007" s="2197" t="s">
        <v>3303</v>
      </c>
      <c r="E1007" s="2198" t="s">
        <v>3146</v>
      </c>
      <c r="F1007" s="5560" t="s">
        <v>11764</v>
      </c>
      <c r="H1007" s="2198" t="s">
        <v>3146</v>
      </c>
      <c r="L1007" s="2196"/>
      <c r="M1007" s="2200"/>
      <c r="T1007" s="2201"/>
      <c r="AT1007" s="2198" t="s">
        <v>3303</v>
      </c>
      <c r="AU1007" s="2198" t="s">
        <v>134</v>
      </c>
      <c r="AV1007" s="2195" t="s">
        <v>133</v>
      </c>
      <c r="AW1007" s="2195" t="s">
        <v>3171</v>
      </c>
      <c r="AX1007" s="2195" t="s">
        <v>3213</v>
      </c>
      <c r="AY1007" s="2198" t="s">
        <v>3285</v>
      </c>
    </row>
    <row r="1008" spans="2:65" s="2195" customFormat="1">
      <c r="B1008" s="2196"/>
      <c r="D1008" s="2197" t="s">
        <v>3303</v>
      </c>
      <c r="E1008" s="2198" t="s">
        <v>3146</v>
      </c>
      <c r="F1008" s="2199" t="s">
        <v>3661</v>
      </c>
      <c r="H1008" s="2198" t="s">
        <v>3146</v>
      </c>
      <c r="L1008" s="2196"/>
      <c r="M1008" s="2200"/>
      <c r="T1008" s="2201"/>
      <c r="AT1008" s="2198" t="s">
        <v>3303</v>
      </c>
      <c r="AU1008" s="2198" t="s">
        <v>134</v>
      </c>
      <c r="AV1008" s="2195" t="s">
        <v>133</v>
      </c>
      <c r="AW1008" s="2195" t="s">
        <v>3171</v>
      </c>
      <c r="AX1008" s="2195" t="s">
        <v>3213</v>
      </c>
      <c r="AY1008" s="2198" t="s">
        <v>3285</v>
      </c>
    </row>
    <row r="1009" spans="2:65" s="2209" customFormat="1">
      <c r="B1009" s="2210"/>
      <c r="D1009" s="2197" t="s">
        <v>3303</v>
      </c>
      <c r="E1009" s="2211" t="s">
        <v>3146</v>
      </c>
      <c r="F1009" s="5560">
        <v>231.2</v>
      </c>
      <c r="G1009" s="5574"/>
      <c r="H1009" s="5569">
        <v>231.2</v>
      </c>
      <c r="L1009" s="2210"/>
      <c r="M1009" s="2214"/>
      <c r="T1009" s="2215"/>
      <c r="AT1009" s="2211" t="s">
        <v>3303</v>
      </c>
      <c r="AU1009" s="2211" t="s">
        <v>134</v>
      </c>
      <c r="AV1009" s="2209" t="s">
        <v>134</v>
      </c>
      <c r="AW1009" s="2209" t="s">
        <v>3171</v>
      </c>
      <c r="AX1009" s="2209" t="s">
        <v>3213</v>
      </c>
      <c r="AY1009" s="2211" t="s">
        <v>3285</v>
      </c>
    </row>
    <row r="1010" spans="2:65" s="2195" customFormat="1">
      <c r="B1010" s="2196"/>
      <c r="D1010" s="2197" t="s">
        <v>3303</v>
      </c>
      <c r="E1010" s="2198" t="s">
        <v>3146</v>
      </c>
      <c r="F1010" s="2199" t="s">
        <v>3578</v>
      </c>
      <c r="H1010" s="2198" t="s">
        <v>3146</v>
      </c>
      <c r="L1010" s="2196"/>
      <c r="M1010" s="2200"/>
      <c r="T1010" s="2201"/>
      <c r="AT1010" s="2198" t="s">
        <v>3303</v>
      </c>
      <c r="AU1010" s="2198" t="s">
        <v>134</v>
      </c>
      <c r="AV1010" s="2195" t="s">
        <v>133</v>
      </c>
      <c r="AW1010" s="2195" t="s">
        <v>3171</v>
      </c>
      <c r="AX1010" s="2195" t="s">
        <v>3213</v>
      </c>
      <c r="AY1010" s="2198" t="s">
        <v>3285</v>
      </c>
    </row>
    <row r="1011" spans="2:65" s="2209" customFormat="1">
      <c r="B1011" s="2210"/>
      <c r="D1011" s="2197" t="s">
        <v>3303</v>
      </c>
      <c r="E1011" s="2211" t="s">
        <v>3146</v>
      </c>
      <c r="F1011" s="5560">
        <v>196.4</v>
      </c>
      <c r="G1011" s="5574"/>
      <c r="H1011" s="5569">
        <v>196.4</v>
      </c>
      <c r="L1011" s="2210"/>
      <c r="M1011" s="2214"/>
      <c r="T1011" s="2215"/>
      <c r="AT1011" s="2211" t="s">
        <v>3303</v>
      </c>
      <c r="AU1011" s="2211" t="s">
        <v>134</v>
      </c>
      <c r="AV1011" s="2209" t="s">
        <v>134</v>
      </c>
      <c r="AW1011" s="2209" t="s">
        <v>3171</v>
      </c>
      <c r="AX1011" s="2209" t="s">
        <v>3213</v>
      </c>
      <c r="AY1011" s="2211" t="s">
        <v>3285</v>
      </c>
    </row>
    <row r="1012" spans="2:65" s="2195" customFormat="1">
      <c r="B1012" s="2196"/>
      <c r="D1012" s="2197" t="s">
        <v>3303</v>
      </c>
      <c r="E1012" s="2198" t="s">
        <v>3146</v>
      </c>
      <c r="F1012" s="2199" t="s">
        <v>3580</v>
      </c>
      <c r="H1012" s="2198" t="s">
        <v>3146</v>
      </c>
      <c r="L1012" s="2196"/>
      <c r="M1012" s="2200"/>
      <c r="T1012" s="2201"/>
      <c r="AT1012" s="2198" t="s">
        <v>3303</v>
      </c>
      <c r="AU1012" s="2198" t="s">
        <v>134</v>
      </c>
      <c r="AV1012" s="2195" t="s">
        <v>133</v>
      </c>
      <c r="AW1012" s="2195" t="s">
        <v>3171</v>
      </c>
      <c r="AX1012" s="2195" t="s">
        <v>3213</v>
      </c>
      <c r="AY1012" s="2198" t="s">
        <v>3285</v>
      </c>
    </row>
    <row r="1013" spans="2:65" s="2209" customFormat="1">
      <c r="B1013" s="2210"/>
      <c r="D1013" s="2197" t="s">
        <v>3303</v>
      </c>
      <c r="E1013" s="2211" t="s">
        <v>3146</v>
      </c>
      <c r="F1013" s="5560">
        <v>207.4</v>
      </c>
      <c r="G1013" s="5574"/>
      <c r="H1013" s="5569">
        <v>207.4</v>
      </c>
      <c r="L1013" s="2210"/>
      <c r="M1013" s="2214"/>
      <c r="T1013" s="2215"/>
      <c r="AT1013" s="2211" t="s">
        <v>3303</v>
      </c>
      <c r="AU1013" s="2211" t="s">
        <v>134</v>
      </c>
      <c r="AV1013" s="2209" t="s">
        <v>134</v>
      </c>
      <c r="AW1013" s="2209" t="s">
        <v>3171</v>
      </c>
      <c r="AX1013" s="2209" t="s">
        <v>3213</v>
      </c>
      <c r="AY1013" s="2211" t="s">
        <v>3285</v>
      </c>
    </row>
    <row r="1014" spans="2:65" s="2216" customFormat="1">
      <c r="B1014" s="2217"/>
      <c r="D1014" s="2197" t="s">
        <v>3303</v>
      </c>
      <c r="E1014" s="2218" t="s">
        <v>3146</v>
      </c>
      <c r="F1014" s="2219" t="s">
        <v>3306</v>
      </c>
      <c r="H1014" s="5569">
        <f>SUM(H1009:H1013)</f>
        <v>635</v>
      </c>
      <c r="L1014" s="2217"/>
      <c r="M1014" s="2221"/>
      <c r="T1014" s="2222"/>
      <c r="AT1014" s="2218" t="s">
        <v>3303</v>
      </c>
      <c r="AU1014" s="2218" t="s">
        <v>134</v>
      </c>
      <c r="AV1014" s="2216" t="s">
        <v>856</v>
      </c>
      <c r="AW1014" s="2216" t="s">
        <v>3171</v>
      </c>
      <c r="AX1014" s="2216" t="s">
        <v>133</v>
      </c>
      <c r="AY1014" s="2218" t="s">
        <v>3285</v>
      </c>
    </row>
    <row r="1015" spans="2:65" s="2070" customFormat="1" ht="16.5" customHeight="1">
      <c r="B1015" s="2164"/>
      <c r="C1015" s="5561" t="s">
        <v>4240</v>
      </c>
      <c r="D1015" s="4608" t="s">
        <v>3286</v>
      </c>
      <c r="E1015" s="4609" t="s">
        <v>4063</v>
      </c>
      <c r="F1015" s="4610" t="s">
        <v>4064</v>
      </c>
      <c r="G1015" s="4611" t="s">
        <v>611</v>
      </c>
      <c r="H1015" s="5568">
        <f>H1017</f>
        <v>569.75</v>
      </c>
      <c r="I1015" s="4613"/>
      <c r="J1015" s="4613">
        <f>ROUND(I1015*H1015,2)</f>
        <v>0</v>
      </c>
      <c r="K1015" s="4610" t="s">
        <v>142</v>
      </c>
      <c r="L1015" s="2071"/>
      <c r="M1015" s="2190" t="s">
        <v>3146</v>
      </c>
      <c r="N1015" s="2163" t="s">
        <v>3181</v>
      </c>
      <c r="O1015" s="2191">
        <v>0.04</v>
      </c>
      <c r="P1015" s="2191">
        <f>O1015*H1015</f>
        <v>22.79</v>
      </c>
      <c r="Q1015" s="2191">
        <v>1E-4</v>
      </c>
      <c r="R1015" s="2191">
        <f>Q1015*H1015</f>
        <v>5.6975000000000005E-2</v>
      </c>
      <c r="S1015" s="2191">
        <v>0</v>
      </c>
      <c r="T1015" s="2192">
        <f>S1015*H1015</f>
        <v>0</v>
      </c>
      <c r="AR1015" s="2193" t="s">
        <v>2894</v>
      </c>
      <c r="AT1015" s="2193" t="s">
        <v>3286</v>
      </c>
      <c r="AU1015" s="2193" t="s">
        <v>134</v>
      </c>
      <c r="AY1015" s="2056" t="s">
        <v>3285</v>
      </c>
      <c r="BE1015" s="2194">
        <f>IF(N1015="základní",J1015,0)</f>
        <v>0</v>
      </c>
      <c r="BF1015" s="2194">
        <f>IF(N1015="snížená",J1015,0)</f>
        <v>0</v>
      </c>
      <c r="BG1015" s="2194">
        <f>IF(N1015="zákl. přenesená",J1015,0)</f>
        <v>0</v>
      </c>
      <c r="BH1015" s="2194">
        <f>IF(N1015="sníž. přenesená",J1015,0)</f>
        <v>0</v>
      </c>
      <c r="BI1015" s="2194">
        <f>IF(N1015="nulová",J1015,0)</f>
        <v>0</v>
      </c>
      <c r="BJ1015" s="2056" t="s">
        <v>134</v>
      </c>
      <c r="BK1015" s="2194">
        <f>ROUND(I1015*H1015,2)</f>
        <v>0</v>
      </c>
      <c r="BL1015" s="2056" t="s">
        <v>2894</v>
      </c>
      <c r="BM1015" s="2193" t="s">
        <v>4065</v>
      </c>
    </row>
    <row r="1016" spans="2:65" s="2209" customFormat="1">
      <c r="B1016" s="2210"/>
      <c r="D1016" s="2197" t="s">
        <v>3303</v>
      </c>
      <c r="E1016" s="2211" t="s">
        <v>3146</v>
      </c>
      <c r="F1016" s="5560">
        <v>569.75</v>
      </c>
      <c r="H1016" s="5569">
        <v>569.75</v>
      </c>
      <c r="L1016" s="2210"/>
      <c r="M1016" s="2214"/>
      <c r="T1016" s="2215"/>
      <c r="AT1016" s="2211" t="s">
        <v>3303</v>
      </c>
      <c r="AU1016" s="2211" t="s">
        <v>134</v>
      </c>
      <c r="AV1016" s="2209" t="s">
        <v>134</v>
      </c>
      <c r="AW1016" s="2209" t="s">
        <v>3171</v>
      </c>
      <c r="AX1016" s="2209" t="s">
        <v>3213</v>
      </c>
      <c r="AY1016" s="2211" t="s">
        <v>3285</v>
      </c>
    </row>
    <row r="1017" spans="2:65" s="2216" customFormat="1">
      <c r="B1017" s="2217"/>
      <c r="D1017" s="2197" t="s">
        <v>3303</v>
      </c>
      <c r="E1017" s="2218" t="s">
        <v>3146</v>
      </c>
      <c r="F1017" s="2219" t="s">
        <v>3306</v>
      </c>
      <c r="H1017" s="2220">
        <f>H1016</f>
        <v>569.75</v>
      </c>
      <c r="L1017" s="2217"/>
      <c r="M1017" s="2221"/>
      <c r="T1017" s="2222"/>
      <c r="AT1017" s="2218" t="s">
        <v>3303</v>
      </c>
      <c r="AU1017" s="2218" t="s">
        <v>134</v>
      </c>
      <c r="AV1017" s="2216" t="s">
        <v>856</v>
      </c>
      <c r="AW1017" s="2216" t="s">
        <v>3171</v>
      </c>
      <c r="AX1017" s="2216" t="s">
        <v>133</v>
      </c>
      <c r="AY1017" s="2218" t="s">
        <v>3285</v>
      </c>
    </row>
    <row r="1018" spans="2:65" s="2070" customFormat="1" ht="16.5" customHeight="1">
      <c r="B1018" s="2164"/>
      <c r="C1018" s="5561" t="s">
        <v>11710</v>
      </c>
      <c r="D1018" s="5561" t="s">
        <v>3286</v>
      </c>
      <c r="E1018" s="5567" t="s">
        <v>11711</v>
      </c>
      <c r="F1018" s="5566" t="s">
        <v>11712</v>
      </c>
      <c r="G1018" s="5570" t="s">
        <v>141</v>
      </c>
      <c r="H1018" s="5568">
        <f>H1020</f>
        <v>1.55</v>
      </c>
      <c r="I1018" s="5571"/>
      <c r="J1018" s="5571">
        <f>ROUND(I1018*H1018,2)</f>
        <v>0</v>
      </c>
      <c r="K1018" s="5566" t="s">
        <v>142</v>
      </c>
      <c r="L1018" s="2071"/>
      <c r="M1018" s="2190" t="s">
        <v>3146</v>
      </c>
      <c r="N1018" s="2163" t="s">
        <v>3181</v>
      </c>
      <c r="O1018" s="2191">
        <v>0.04</v>
      </c>
      <c r="P1018" s="2191">
        <f>O1018*H1018</f>
        <v>6.2000000000000006E-2</v>
      </c>
      <c r="Q1018" s="2191">
        <v>1E-4</v>
      </c>
      <c r="R1018" s="2191">
        <f>Q1018*H1018</f>
        <v>1.55E-4</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4065</v>
      </c>
    </row>
    <row r="1019" spans="2:65" s="2209" customFormat="1">
      <c r="B1019" s="2210"/>
      <c r="D1019" s="2197" t="s">
        <v>3303</v>
      </c>
      <c r="E1019" s="2211" t="s">
        <v>3146</v>
      </c>
      <c r="F1019" s="5560">
        <v>1.55</v>
      </c>
      <c r="H1019" s="5569">
        <f>1.55</f>
        <v>1.55</v>
      </c>
      <c r="L1019" s="2210"/>
      <c r="M1019" s="2214"/>
      <c r="T1019" s="2215"/>
      <c r="AT1019" s="2211" t="s">
        <v>3303</v>
      </c>
      <c r="AU1019" s="2211" t="s">
        <v>134</v>
      </c>
      <c r="AV1019" s="2209" t="s">
        <v>134</v>
      </c>
      <c r="AW1019" s="2209" t="s">
        <v>3171</v>
      </c>
      <c r="AX1019" s="2209" t="s">
        <v>3213</v>
      </c>
      <c r="AY1019" s="2211" t="s">
        <v>3285</v>
      </c>
    </row>
    <row r="1020" spans="2:65" s="2216" customFormat="1">
      <c r="B1020" s="2217"/>
      <c r="D1020" s="2197" t="s">
        <v>3303</v>
      </c>
      <c r="E1020" s="2218" t="s">
        <v>3146</v>
      </c>
      <c r="F1020" s="2219" t="s">
        <v>3306</v>
      </c>
      <c r="H1020" s="2220">
        <f>H1019</f>
        <v>1.55</v>
      </c>
      <c r="L1020" s="2217"/>
      <c r="M1020" s="2221"/>
      <c r="T1020" s="2222"/>
      <c r="AT1020" s="2218" t="s">
        <v>3303</v>
      </c>
      <c r="AU1020" s="2218" t="s">
        <v>134</v>
      </c>
      <c r="AV1020" s="2216" t="s">
        <v>856</v>
      </c>
      <c r="AW1020" s="2216" t="s">
        <v>3171</v>
      </c>
      <c r="AX1020" s="2216" t="s">
        <v>133</v>
      </c>
      <c r="AY1020" s="2218" t="s">
        <v>3285</v>
      </c>
    </row>
    <row r="1021" spans="2:65" s="2070" customFormat="1" ht="16.5" customHeight="1">
      <c r="B1021" s="2164"/>
      <c r="C1021" s="5561" t="s">
        <v>4244</v>
      </c>
      <c r="D1021" s="4608" t="s">
        <v>3286</v>
      </c>
      <c r="E1021" s="4609" t="s">
        <v>10960</v>
      </c>
      <c r="F1021" s="4610" t="s">
        <v>10961</v>
      </c>
      <c r="G1021" s="4611" t="s">
        <v>611</v>
      </c>
      <c r="H1021" s="4612">
        <v>1581.396</v>
      </c>
      <c r="I1021" s="5874" t="s">
        <v>11555</v>
      </c>
      <c r="J1021" s="5875"/>
      <c r="K1021" s="4610" t="s">
        <v>142</v>
      </c>
      <c r="L1021" s="2071"/>
      <c r="M1021" s="2190" t="s">
        <v>3146</v>
      </c>
      <c r="N1021" s="2163" t="s">
        <v>3181</v>
      </c>
      <c r="O1021" s="2191">
        <v>9.9000000000000005E-2</v>
      </c>
      <c r="P1021" s="2191">
        <f>O1021*H1021</f>
        <v>156.55820399999999</v>
      </c>
      <c r="Q1021" s="2191">
        <v>0</v>
      </c>
      <c r="R1021" s="2191">
        <f>Q1021*H1021</f>
        <v>0</v>
      </c>
      <c r="S1021" s="2191">
        <v>0</v>
      </c>
      <c r="T1021" s="2192">
        <f>S1021*H1021</f>
        <v>0</v>
      </c>
      <c r="AR1021" s="2193" t="s">
        <v>2894</v>
      </c>
      <c r="AT1021" s="2193" t="s">
        <v>3286</v>
      </c>
      <c r="AU1021" s="2193" t="s">
        <v>134</v>
      </c>
      <c r="AY1021" s="2056" t="s">
        <v>3285</v>
      </c>
      <c r="BE1021" s="2194">
        <f>IF(N1021="základní",J1021,0)</f>
        <v>0</v>
      </c>
      <c r="BF1021" s="2194">
        <f>IF(N1021="snížená",J1021,0)</f>
        <v>0</v>
      </c>
      <c r="BG1021" s="2194">
        <f>IF(N1021="zákl. přenesená",J1021,0)</f>
        <v>0</v>
      </c>
      <c r="BH1021" s="2194">
        <f>IF(N1021="sníž. přenesená",J1021,0)</f>
        <v>0</v>
      </c>
      <c r="BI1021" s="2194">
        <f>IF(N1021="nulová",J1021,0)</f>
        <v>0</v>
      </c>
      <c r="BJ1021" s="2056" t="s">
        <v>134</v>
      </c>
      <c r="BK1021" s="2194">
        <v>0</v>
      </c>
      <c r="BL1021" s="2056" t="s">
        <v>2894</v>
      </c>
      <c r="BM1021" s="2193" t="s">
        <v>10962</v>
      </c>
    </row>
    <row r="1022" spans="2:65" s="2209" customFormat="1">
      <c r="B1022" s="2210"/>
      <c r="D1022" s="2197" t="s">
        <v>3303</v>
      </c>
      <c r="E1022" s="2211" t="s">
        <v>3146</v>
      </c>
      <c r="F1022" s="2212" t="s">
        <v>10963</v>
      </c>
      <c r="H1022" s="2213">
        <v>655.09699999999998</v>
      </c>
      <c r="L1022" s="2210"/>
      <c r="M1022" s="2214"/>
      <c r="T1022" s="2215"/>
      <c r="AT1022" s="2211" t="s">
        <v>3303</v>
      </c>
      <c r="AU1022" s="2211" t="s">
        <v>134</v>
      </c>
      <c r="AV1022" s="2209" t="s">
        <v>134</v>
      </c>
      <c r="AW1022" s="2209" t="s">
        <v>3171</v>
      </c>
      <c r="AX1022" s="2209" t="s">
        <v>3213</v>
      </c>
      <c r="AY1022" s="2211" t="s">
        <v>3285</v>
      </c>
    </row>
    <row r="1023" spans="2:65" s="2209" customFormat="1">
      <c r="B1023" s="2210"/>
      <c r="D1023" s="2197" t="s">
        <v>3303</v>
      </c>
      <c r="E1023" s="2211" t="s">
        <v>3146</v>
      </c>
      <c r="F1023" s="2212" t="s">
        <v>10964</v>
      </c>
      <c r="H1023" s="2213">
        <v>926.29899999999998</v>
      </c>
      <c r="L1023" s="2210"/>
      <c r="M1023" s="2214"/>
      <c r="T1023" s="2215"/>
      <c r="AT1023" s="2211" t="s">
        <v>3303</v>
      </c>
      <c r="AU1023" s="2211" t="s">
        <v>134</v>
      </c>
      <c r="AV1023" s="2209" t="s">
        <v>134</v>
      </c>
      <c r="AW1023" s="2209" t="s">
        <v>3171</v>
      </c>
      <c r="AX1023" s="2209" t="s">
        <v>3213</v>
      </c>
      <c r="AY1023" s="2211" t="s">
        <v>3285</v>
      </c>
    </row>
    <row r="1024" spans="2:65" s="2216" customFormat="1">
      <c r="B1024" s="2217"/>
      <c r="D1024" s="2197" t="s">
        <v>3303</v>
      </c>
      <c r="E1024" s="2218" t="s">
        <v>3146</v>
      </c>
      <c r="F1024" s="2219" t="s">
        <v>3306</v>
      </c>
      <c r="H1024" s="2220">
        <v>1581.396</v>
      </c>
      <c r="L1024" s="2217"/>
      <c r="M1024" s="2221"/>
      <c r="T1024" s="2222"/>
      <c r="AT1024" s="2218" t="s">
        <v>3303</v>
      </c>
      <c r="AU1024" s="2218" t="s">
        <v>134</v>
      </c>
      <c r="AV1024" s="2216" t="s">
        <v>856</v>
      </c>
      <c r="AW1024" s="2216" t="s">
        <v>3171</v>
      </c>
      <c r="AX1024" s="2216" t="s">
        <v>133</v>
      </c>
      <c r="AY1024" s="2218" t="s">
        <v>3285</v>
      </c>
    </row>
    <row r="1025" spans="2:65" s="2070" customFormat="1" ht="24.2" customHeight="1">
      <c r="B1025" s="2164"/>
      <c r="C1025" s="5609" t="s">
        <v>4248</v>
      </c>
      <c r="D1025" s="4614" t="s">
        <v>135</v>
      </c>
      <c r="E1025" s="4615" t="s">
        <v>10965</v>
      </c>
      <c r="F1025" s="4616" t="s">
        <v>10966</v>
      </c>
      <c r="G1025" s="4617" t="s">
        <v>611</v>
      </c>
      <c r="H1025" s="4618">
        <v>1776.6980000000001</v>
      </c>
      <c r="I1025" s="5874" t="s">
        <v>11555</v>
      </c>
      <c r="J1025" s="5875"/>
      <c r="K1025" s="4616" t="s">
        <v>142</v>
      </c>
      <c r="L1025" s="2223"/>
      <c r="M1025" s="2224" t="s">
        <v>3146</v>
      </c>
      <c r="N1025" s="2225" t="s">
        <v>3181</v>
      </c>
      <c r="O1025" s="2191">
        <v>0</v>
      </c>
      <c r="P1025" s="2191">
        <f>O1025*H1025</f>
        <v>0</v>
      </c>
      <c r="Q1025" s="2191">
        <v>1.6000000000000001E-4</v>
      </c>
      <c r="R1025" s="2191">
        <f>Q1025*H1025</f>
        <v>0.28427168000000003</v>
      </c>
      <c r="S1025" s="2191">
        <v>0</v>
      </c>
      <c r="T1025" s="2192">
        <f>S1025*H1025</f>
        <v>0</v>
      </c>
      <c r="AR1025" s="2193" t="s">
        <v>3389</v>
      </c>
      <c r="AT1025" s="2193" t="s">
        <v>135</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v>0</v>
      </c>
      <c r="BL1025" s="2056" t="s">
        <v>2894</v>
      </c>
      <c r="BM1025" s="2193" t="s">
        <v>10967</v>
      </c>
    </row>
    <row r="1026" spans="2:65" s="2209" customFormat="1">
      <c r="B1026" s="2210"/>
      <c r="D1026" s="2197" t="s">
        <v>3303</v>
      </c>
      <c r="F1026" s="2212" t="s">
        <v>10968</v>
      </c>
      <c r="H1026" s="2213">
        <v>1776.6980000000001</v>
      </c>
      <c r="L1026" s="2210"/>
      <c r="M1026" s="2214"/>
      <c r="T1026" s="2215"/>
      <c r="AT1026" s="2211" t="s">
        <v>3303</v>
      </c>
      <c r="AU1026" s="2211" t="s">
        <v>134</v>
      </c>
      <c r="AV1026" s="2209" t="s">
        <v>134</v>
      </c>
      <c r="AW1026" s="2209" t="s">
        <v>3148</v>
      </c>
      <c r="AX1026" s="2209" t="s">
        <v>133</v>
      </c>
      <c r="AY1026" s="2211" t="s">
        <v>3285</v>
      </c>
    </row>
    <row r="1027" spans="2:65" s="2070" customFormat="1" ht="21.75" customHeight="1">
      <c r="B1027" s="2164"/>
      <c r="C1027" s="5561" t="s">
        <v>2724</v>
      </c>
      <c r="D1027" s="4608" t="s">
        <v>3286</v>
      </c>
      <c r="E1027" s="4609" t="s">
        <v>10969</v>
      </c>
      <c r="F1027" s="4610" t="s">
        <v>10970</v>
      </c>
      <c r="G1027" s="4611" t="s">
        <v>611</v>
      </c>
      <c r="H1027" s="5568">
        <f>H1029</f>
        <v>569.75</v>
      </c>
      <c r="I1027" s="4613"/>
      <c r="J1027" s="4613">
        <f>ROUND(I1027*H1027,2)</f>
        <v>0</v>
      </c>
      <c r="K1027" s="4610" t="s">
        <v>142</v>
      </c>
      <c r="L1027" s="2071"/>
      <c r="M1027" s="2190" t="s">
        <v>3146</v>
      </c>
      <c r="N1027" s="2163" t="s">
        <v>3181</v>
      </c>
      <c r="O1027" s="2191">
        <v>0.12</v>
      </c>
      <c r="P1027" s="2191">
        <f>O1027*H1027</f>
        <v>68.37</v>
      </c>
      <c r="Q1027" s="2191">
        <v>6.9999999999999999E-4</v>
      </c>
      <c r="R1027" s="2191">
        <f>Q1027*H1027</f>
        <v>0.39882499999999999</v>
      </c>
      <c r="S1027" s="2191">
        <v>0</v>
      </c>
      <c r="T1027" s="2192">
        <f>S1027*H1027</f>
        <v>0</v>
      </c>
      <c r="AR1027" s="2193" t="s">
        <v>2894</v>
      </c>
      <c r="AT1027" s="2193" t="s">
        <v>3286</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10971</v>
      </c>
    </row>
    <row r="1028" spans="2:65" s="2209" customFormat="1">
      <c r="B1028" s="2210"/>
      <c r="D1028" s="2197" t="s">
        <v>3303</v>
      </c>
      <c r="E1028" s="2211" t="s">
        <v>3146</v>
      </c>
      <c r="F1028" s="2199" t="s">
        <v>11763</v>
      </c>
      <c r="H1028" s="5569"/>
      <c r="L1028" s="2210"/>
      <c r="M1028" s="2214"/>
      <c r="T1028" s="2215"/>
      <c r="AT1028" s="2211" t="s">
        <v>3303</v>
      </c>
      <c r="AU1028" s="2211" t="s">
        <v>134</v>
      </c>
      <c r="AV1028" s="2209" t="s">
        <v>134</v>
      </c>
      <c r="AW1028" s="2209" t="s">
        <v>3171</v>
      </c>
      <c r="AX1028" s="2209" t="s">
        <v>3213</v>
      </c>
      <c r="AY1028" s="2211" t="s">
        <v>3285</v>
      </c>
    </row>
    <row r="1029" spans="2:65" s="2209" customFormat="1">
      <c r="B1029" s="2210"/>
      <c r="D1029" s="2197" t="s">
        <v>3303</v>
      </c>
      <c r="E1029" s="2211" t="s">
        <v>3146</v>
      </c>
      <c r="F1029" s="5560">
        <v>569.75</v>
      </c>
      <c r="H1029" s="5569">
        <f>569.75</f>
        <v>569.75</v>
      </c>
      <c r="L1029" s="2210"/>
      <c r="M1029" s="2214"/>
      <c r="T1029" s="2215"/>
      <c r="AT1029" s="2211" t="s">
        <v>3303</v>
      </c>
      <c r="AU1029" s="2211" t="s">
        <v>134</v>
      </c>
      <c r="AV1029" s="2209" t="s">
        <v>134</v>
      </c>
      <c r="AW1029" s="2209" t="s">
        <v>3171</v>
      </c>
      <c r="AX1029" s="2209" t="s">
        <v>3213</v>
      </c>
      <c r="AY1029" s="2211" t="s">
        <v>3285</v>
      </c>
    </row>
    <row r="1030" spans="2:65" s="2070" customFormat="1" ht="33" customHeight="1">
      <c r="B1030" s="2164"/>
      <c r="C1030" s="5561" t="s">
        <v>5773</v>
      </c>
      <c r="D1030" s="4608" t="s">
        <v>3286</v>
      </c>
      <c r="E1030" s="4609" t="s">
        <v>4067</v>
      </c>
      <c r="F1030" s="4610" t="s">
        <v>4068</v>
      </c>
      <c r="G1030" s="4611" t="s">
        <v>611</v>
      </c>
      <c r="H1030" s="5568">
        <f>H1039</f>
        <v>776.14700000000005</v>
      </c>
      <c r="I1030" s="4613"/>
      <c r="J1030" s="4613">
        <f>ROUND(I1030*H1030,2)</f>
        <v>0</v>
      </c>
      <c r="K1030" s="4610" t="s">
        <v>142</v>
      </c>
      <c r="L1030" s="2071"/>
      <c r="M1030" s="2190" t="s">
        <v>3146</v>
      </c>
      <c r="N1030" s="2163" t="s">
        <v>3181</v>
      </c>
      <c r="O1030" s="2191">
        <v>0.51800000000000002</v>
      </c>
      <c r="P1030" s="2191">
        <f>O1030*H1030</f>
        <v>402.04414600000001</v>
      </c>
      <c r="Q1030" s="2191">
        <v>1.25E-3</v>
      </c>
      <c r="R1030" s="2191">
        <f>Q1030*H1030</f>
        <v>0.97018375000000012</v>
      </c>
      <c r="S1030" s="2191">
        <v>0</v>
      </c>
      <c r="T1030" s="2192">
        <f>S1030*H1030</f>
        <v>0</v>
      </c>
      <c r="AR1030" s="2193" t="s">
        <v>2894</v>
      </c>
      <c r="AT1030" s="2193" t="s">
        <v>3286</v>
      </c>
      <c r="AU1030" s="2193" t="s">
        <v>134</v>
      </c>
      <c r="AY1030" s="2056" t="s">
        <v>3285</v>
      </c>
      <c r="BE1030" s="2194">
        <f>IF(N1030="základní",J1030,0)</f>
        <v>0</v>
      </c>
      <c r="BF1030" s="2194">
        <f>IF(N1030="snížená",J1030,0)</f>
        <v>0</v>
      </c>
      <c r="BG1030" s="2194">
        <f>IF(N1030="zákl. přenesená",J1030,0)</f>
        <v>0</v>
      </c>
      <c r="BH1030" s="2194">
        <f>IF(N1030="sníž. přenesená",J1030,0)</f>
        <v>0</v>
      </c>
      <c r="BI1030" s="2194">
        <f>IF(N1030="nulová",J1030,0)</f>
        <v>0</v>
      </c>
      <c r="BJ1030" s="2056" t="s">
        <v>134</v>
      </c>
      <c r="BK1030" s="2194">
        <f>ROUND(I1030*H1030,2)</f>
        <v>0</v>
      </c>
      <c r="BL1030" s="2056" t="s">
        <v>2894</v>
      </c>
      <c r="BM1030" s="2193" t="s">
        <v>4069</v>
      </c>
    </row>
    <row r="1031" spans="2:65" s="2195" customFormat="1">
      <c r="B1031" s="2196"/>
      <c r="D1031" s="2197" t="s">
        <v>3303</v>
      </c>
      <c r="E1031" s="2198" t="s">
        <v>3146</v>
      </c>
      <c r="F1031" s="2199" t="s">
        <v>4070</v>
      </c>
      <c r="H1031" s="2198" t="s">
        <v>3146</v>
      </c>
      <c r="L1031" s="2196"/>
      <c r="M1031" s="2200"/>
      <c r="T1031" s="2201"/>
      <c r="AT1031" s="2198" t="s">
        <v>3303</v>
      </c>
      <c r="AU1031" s="2198" t="s">
        <v>134</v>
      </c>
      <c r="AV1031" s="2195" t="s">
        <v>133</v>
      </c>
      <c r="AW1031" s="2195" t="s">
        <v>3171</v>
      </c>
      <c r="AX1031" s="2195" t="s">
        <v>3213</v>
      </c>
      <c r="AY1031" s="2198" t="s">
        <v>3285</v>
      </c>
    </row>
    <row r="1032" spans="2:65" s="2209" customFormat="1" ht="33.75">
      <c r="B1032" s="2210"/>
      <c r="D1032" s="2197" t="s">
        <v>3303</v>
      </c>
      <c r="E1032" s="2211" t="s">
        <v>3146</v>
      </c>
      <c r="F1032" s="2212" t="s">
        <v>4071</v>
      </c>
      <c r="H1032" s="2213">
        <v>284.97000000000003</v>
      </c>
      <c r="L1032" s="2210"/>
      <c r="M1032" s="2214"/>
      <c r="T1032" s="2215"/>
      <c r="AT1032" s="2211" t="s">
        <v>3303</v>
      </c>
      <c r="AU1032" s="2211" t="s">
        <v>134</v>
      </c>
      <c r="AV1032" s="2209" t="s">
        <v>134</v>
      </c>
      <c r="AW1032" s="2209" t="s">
        <v>3171</v>
      </c>
      <c r="AX1032" s="2209" t="s">
        <v>3213</v>
      </c>
      <c r="AY1032" s="2211" t="s">
        <v>3285</v>
      </c>
    </row>
    <row r="1033" spans="2:65" s="2209" customFormat="1">
      <c r="B1033" s="2210"/>
      <c r="D1033" s="2197" t="s">
        <v>3303</v>
      </c>
      <c r="E1033" s="2211" t="s">
        <v>3146</v>
      </c>
      <c r="F1033" s="2212" t="s">
        <v>4072</v>
      </c>
      <c r="H1033" s="2213">
        <v>212.17699999999999</v>
      </c>
      <c r="L1033" s="2210"/>
      <c r="M1033" s="2214"/>
      <c r="T1033" s="2215"/>
      <c r="W1033" s="2213"/>
      <c r="AT1033" s="2211" t="s">
        <v>3303</v>
      </c>
      <c r="AU1033" s="2211" t="s">
        <v>134</v>
      </c>
      <c r="AV1033" s="2209" t="s">
        <v>134</v>
      </c>
      <c r="AW1033" s="2209" t="s">
        <v>3171</v>
      </c>
      <c r="AX1033" s="2209" t="s">
        <v>3213</v>
      </c>
      <c r="AY1033" s="2211" t="s">
        <v>3285</v>
      </c>
    </row>
    <row r="1034" spans="2:65" s="2195" customFormat="1">
      <c r="B1034" s="2196"/>
      <c r="D1034" s="2197" t="s">
        <v>3303</v>
      </c>
      <c r="E1034" s="2198" t="s">
        <v>3146</v>
      </c>
      <c r="F1034" s="2199" t="s">
        <v>4073</v>
      </c>
      <c r="H1034" s="2198" t="s">
        <v>3146</v>
      </c>
      <c r="L1034" s="2196"/>
      <c r="M1034" s="2200"/>
      <c r="T1034" s="2201"/>
      <c r="W1034" s="5662"/>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5560" t="s">
        <v>11750</v>
      </c>
      <c r="H1035" s="5569">
        <f>(8.25+13.96+5.33+7.52)</f>
        <v>35.06</v>
      </c>
      <c r="L1035" s="2210"/>
      <c r="M1035" s="2214"/>
      <c r="T1035" s="2215"/>
      <c r="AT1035" s="2211" t="s">
        <v>3303</v>
      </c>
      <c r="AU1035" s="2211" t="s">
        <v>134</v>
      </c>
      <c r="AV1035" s="2209" t="s">
        <v>134</v>
      </c>
      <c r="AW1035" s="2209" t="s">
        <v>3171</v>
      </c>
      <c r="AX1035" s="2209" t="s">
        <v>3213</v>
      </c>
      <c r="AY1035" s="2211" t="s">
        <v>3285</v>
      </c>
    </row>
    <row r="1036" spans="2:65" s="2209" customFormat="1">
      <c r="B1036" s="2210"/>
      <c r="D1036" s="2197"/>
      <c r="E1036" s="2211"/>
      <c r="F1036" s="5560" t="s">
        <v>11749</v>
      </c>
      <c r="H1036" s="5569">
        <f>(5.64+5.64+5.75+5.64+5.64+5.75+9.64+5.33)</f>
        <v>49.03</v>
      </c>
      <c r="L1036" s="2210"/>
      <c r="M1036" s="2214"/>
      <c r="T1036" s="2215"/>
      <c r="X1036" s="2213"/>
      <c r="AT1036" s="2211"/>
      <c r="AU1036" s="2211"/>
      <c r="AY1036" s="2211"/>
    </row>
    <row r="1037" spans="2:65" s="2209" customFormat="1" ht="33.75">
      <c r="B1037" s="2210"/>
      <c r="D1037" s="2197"/>
      <c r="E1037" s="2211"/>
      <c r="F1037" s="5560" t="s">
        <v>11751</v>
      </c>
      <c r="H1037" s="5569">
        <f>(5.64+5.64+5.75+5.75+5.75+5.64+5.64+13.28+7.49+5.75+5.64+5.64+5.64+5.64+5.75+5.75)</f>
        <v>100.39000000000001</v>
      </c>
      <c r="L1037" s="2210"/>
      <c r="M1037" s="2214"/>
      <c r="T1037" s="2215"/>
      <c r="W1037" s="2213"/>
      <c r="AT1037" s="2211"/>
      <c r="AU1037" s="2211"/>
      <c r="AY1037" s="2211"/>
    </row>
    <row r="1038" spans="2:65" s="2209" customFormat="1" ht="33.75">
      <c r="B1038" s="2210"/>
      <c r="D1038" s="2197"/>
      <c r="E1038" s="2211"/>
      <c r="F1038" s="5560" t="s">
        <v>11752</v>
      </c>
      <c r="H1038" s="5569">
        <f>(5.64+5.75+5.75+5.77+5.64+5.64+13.28+7.35+5.64+5.64+5.64+5.64+5.64+5.75+5.75)</f>
        <v>94.52</v>
      </c>
      <c r="L1038" s="2210"/>
      <c r="M1038" s="2214"/>
      <c r="T1038" s="2215"/>
      <c r="AT1038" s="2211"/>
      <c r="AU1038" s="2211"/>
      <c r="AY1038" s="2211"/>
    </row>
    <row r="1039" spans="2:65" s="2216" customFormat="1">
      <c r="B1039" s="2217"/>
      <c r="D1039" s="2197" t="s">
        <v>3303</v>
      </c>
      <c r="E1039" s="2218" t="s">
        <v>3146</v>
      </c>
      <c r="F1039" s="2219" t="s">
        <v>3306</v>
      </c>
      <c r="H1039" s="2220">
        <f>H1038+H1037+H1036+H1035+H1033+H1032</f>
        <v>776.14700000000005</v>
      </c>
      <c r="L1039" s="2217"/>
      <c r="M1039" s="2221"/>
      <c r="T1039" s="2222"/>
      <c r="AT1039" s="2218" t="s">
        <v>3303</v>
      </c>
      <c r="AU1039" s="2218" t="s">
        <v>134</v>
      </c>
      <c r="AV1039" s="2216" t="s">
        <v>856</v>
      </c>
      <c r="AW1039" s="2216" t="s">
        <v>3171</v>
      </c>
      <c r="AX1039" s="2216" t="s">
        <v>133</v>
      </c>
      <c r="AY1039" s="2218" t="s">
        <v>3285</v>
      </c>
    </row>
    <row r="1040" spans="2:65" s="2070" customFormat="1" ht="37.9" customHeight="1">
      <c r="B1040" s="2164"/>
      <c r="C1040" s="5651" t="s">
        <v>5777</v>
      </c>
      <c r="D1040" s="4614" t="s">
        <v>135</v>
      </c>
      <c r="E1040" s="4615" t="s">
        <v>4075</v>
      </c>
      <c r="F1040" s="4616" t="s">
        <v>4076</v>
      </c>
      <c r="G1040" s="4617" t="s">
        <v>611</v>
      </c>
      <c r="H1040" s="4618">
        <v>801.26700000000005</v>
      </c>
      <c r="I1040" s="5874" t="s">
        <v>11555</v>
      </c>
      <c r="J1040" s="5875"/>
      <c r="K1040" s="4616" t="s">
        <v>142</v>
      </c>
      <c r="L1040" s="2223"/>
      <c r="M1040" s="2224" t="s">
        <v>3146</v>
      </c>
      <c r="N1040" s="2225" t="s">
        <v>3181</v>
      </c>
      <c r="O1040" s="2191">
        <v>0</v>
      </c>
      <c r="P1040" s="2191">
        <f>O1040*H1040</f>
        <v>0</v>
      </c>
      <c r="Q1040" s="2191">
        <v>1.6000000000000001E-3</v>
      </c>
      <c r="R1040" s="2191">
        <f>Q1040*H1040</f>
        <v>1.2820272000000001</v>
      </c>
      <c r="S1040" s="2191">
        <v>0</v>
      </c>
      <c r="T1040" s="2192">
        <f>S1040*H1040</f>
        <v>0</v>
      </c>
      <c r="AR1040" s="2193" t="s">
        <v>3389</v>
      </c>
      <c r="AT1040" s="2193" t="s">
        <v>135</v>
      </c>
      <c r="AU1040" s="2193" t="s">
        <v>134</v>
      </c>
      <c r="AY1040" s="2056" t="s">
        <v>3285</v>
      </c>
      <c r="BE1040" s="2194">
        <f>IF(N1040="základní",J1040,0)</f>
        <v>0</v>
      </c>
      <c r="BF1040" s="2194">
        <f>IF(N1040="snížená",J1040,0)</f>
        <v>0</v>
      </c>
      <c r="BG1040" s="2194">
        <f>IF(N1040="zákl. přenesená",J1040,0)</f>
        <v>0</v>
      </c>
      <c r="BH1040" s="2194">
        <f>IF(N1040="sníž. přenesená",J1040,0)</f>
        <v>0</v>
      </c>
      <c r="BI1040" s="2194">
        <f>IF(N1040="nulová",J1040,0)</f>
        <v>0</v>
      </c>
      <c r="BJ1040" s="2056" t="s">
        <v>134</v>
      </c>
      <c r="BK1040" s="2194">
        <v>0</v>
      </c>
      <c r="BL1040" s="2056" t="s">
        <v>2894</v>
      </c>
      <c r="BM1040" s="2193" t="s">
        <v>4077</v>
      </c>
    </row>
    <row r="1041" spans="2:65" s="2195" customFormat="1">
      <c r="B1041" s="2196"/>
      <c r="D1041" s="2197" t="s">
        <v>3303</v>
      </c>
      <c r="E1041" s="2198" t="s">
        <v>3146</v>
      </c>
      <c r="F1041" s="2212" t="s">
        <v>4078</v>
      </c>
      <c r="G1041" s="2209"/>
      <c r="H1041" s="2213">
        <v>801.26700000000005</v>
      </c>
      <c r="L1041" s="2196"/>
      <c r="M1041" s="2200"/>
      <c r="T1041" s="2201"/>
      <c r="AT1041" s="2198" t="s">
        <v>3303</v>
      </c>
      <c r="AU1041" s="2198" t="s">
        <v>134</v>
      </c>
      <c r="AV1041" s="2195" t="s">
        <v>133</v>
      </c>
      <c r="AW1041" s="2195" t="s">
        <v>3171</v>
      </c>
      <c r="AX1041" s="2195" t="s">
        <v>3213</v>
      </c>
      <c r="AY1041" s="2198" t="s">
        <v>3285</v>
      </c>
    </row>
    <row r="1042" spans="2:65" s="2070" customFormat="1" ht="48">
      <c r="B1042" s="2164"/>
      <c r="C1042" s="5651" t="s">
        <v>11754</v>
      </c>
      <c r="D1042" s="5651" t="s">
        <v>135</v>
      </c>
      <c r="E1042" s="5653" t="s">
        <v>11758</v>
      </c>
      <c r="F1042" s="5654" t="s">
        <v>11760</v>
      </c>
      <c r="G1042" s="5655" t="s">
        <v>611</v>
      </c>
      <c r="H1042" s="5650">
        <f>H1044</f>
        <v>522.00435000000004</v>
      </c>
      <c r="I1042" s="5656"/>
      <c r="J1042" s="5656">
        <f>ROUND(I1042*H1042,2)</f>
        <v>0</v>
      </c>
      <c r="K1042" s="5654" t="s">
        <v>142</v>
      </c>
      <c r="L1042" s="2223"/>
      <c r="M1042" s="2224" t="s">
        <v>3146</v>
      </c>
      <c r="N1042" s="2225" t="s">
        <v>3181</v>
      </c>
      <c r="O1042" s="2191">
        <v>0</v>
      </c>
      <c r="P1042" s="2191">
        <f>O1042*H1042</f>
        <v>0</v>
      </c>
      <c r="Q1042" s="2191">
        <v>1.6000000000000001E-3</v>
      </c>
      <c r="R1042" s="2191">
        <f>Q1042*H1042</f>
        <v>0.83520696000000016</v>
      </c>
      <c r="S1042" s="2191">
        <v>0</v>
      </c>
      <c r="T1042" s="2192">
        <f>S1042*H1042</f>
        <v>0</v>
      </c>
      <c r="AR1042" s="2193" t="s">
        <v>3389</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4077</v>
      </c>
    </row>
    <row r="1043" spans="2:65" s="2195" customFormat="1">
      <c r="B1043" s="2196"/>
      <c r="C1043" s="5657"/>
      <c r="D1043" s="5658" t="s">
        <v>3303</v>
      </c>
      <c r="E1043" s="5659" t="s">
        <v>3146</v>
      </c>
      <c r="F1043" s="5652" t="s">
        <v>4070</v>
      </c>
      <c r="G1043" s="5657"/>
      <c r="H1043" s="5659" t="s">
        <v>3146</v>
      </c>
      <c r="I1043" s="5657"/>
      <c r="J1043" s="5657"/>
      <c r="K1043" s="5657"/>
      <c r="L1043" s="2196"/>
      <c r="M1043" s="2200"/>
      <c r="T1043" s="2201"/>
      <c r="AT1043" s="2198" t="s">
        <v>3303</v>
      </c>
      <c r="AU1043" s="2198" t="s">
        <v>134</v>
      </c>
      <c r="AV1043" s="2195" t="s">
        <v>133</v>
      </c>
      <c r="AW1043" s="2195" t="s">
        <v>3171</v>
      </c>
      <c r="AX1043" s="2195" t="s">
        <v>3213</v>
      </c>
      <c r="AY1043" s="2198" t="s">
        <v>3285</v>
      </c>
    </row>
    <row r="1044" spans="2:65" s="2209" customFormat="1">
      <c r="B1044" s="2210"/>
      <c r="C1044" s="5657"/>
      <c r="D1044" s="5658" t="s">
        <v>3303</v>
      </c>
      <c r="E1044" s="5657"/>
      <c r="F1044" s="5652" t="s">
        <v>11753</v>
      </c>
      <c r="G1044" s="5657"/>
      <c r="H1044" s="5649">
        <f>(284.97+212.177)*1.05</f>
        <v>522.00435000000004</v>
      </c>
      <c r="I1044" s="5657"/>
      <c r="J1044" s="5657"/>
      <c r="K1044" s="5657"/>
      <c r="L1044" s="2210"/>
      <c r="M1044" s="2214"/>
      <c r="T1044" s="2215"/>
      <c r="AT1044" s="2211" t="s">
        <v>3303</v>
      </c>
      <c r="AU1044" s="2211" t="s">
        <v>134</v>
      </c>
      <c r="AV1044" s="2209" t="s">
        <v>134</v>
      </c>
      <c r="AW1044" s="2209" t="s">
        <v>3148</v>
      </c>
      <c r="AX1044" s="2209" t="s">
        <v>133</v>
      </c>
      <c r="AY1044" s="2211" t="s">
        <v>3285</v>
      </c>
    </row>
    <row r="1045" spans="2:65" s="2070" customFormat="1" ht="60">
      <c r="B1045" s="2164"/>
      <c r="C1045" s="5651" t="s">
        <v>11757</v>
      </c>
      <c r="D1045" s="5651" t="s">
        <v>135</v>
      </c>
      <c r="E1045" s="5653" t="s">
        <v>11755</v>
      </c>
      <c r="F1045" s="5654" t="s">
        <v>11759</v>
      </c>
      <c r="G1045" s="5655" t="s">
        <v>611</v>
      </c>
      <c r="H1045" s="5650">
        <f>H1047</f>
        <v>292.95</v>
      </c>
      <c r="I1045" s="5656"/>
      <c r="J1045" s="5656">
        <f>ROUND(I1045*H1045,2)</f>
        <v>0</v>
      </c>
      <c r="K1045" s="5654" t="s">
        <v>142</v>
      </c>
      <c r="L1045" s="2223"/>
      <c r="M1045" s="2224" t="s">
        <v>3146</v>
      </c>
      <c r="N1045" s="2225" t="s">
        <v>3181</v>
      </c>
      <c r="O1045" s="2191">
        <v>0</v>
      </c>
      <c r="P1045" s="2191">
        <f>O1045*H1045</f>
        <v>0</v>
      </c>
      <c r="Q1045" s="2191">
        <v>1.6000000000000001E-3</v>
      </c>
      <c r="R1045" s="2191">
        <f>Q1045*H1045</f>
        <v>0.46872000000000003</v>
      </c>
      <c r="S1045" s="2191">
        <v>0</v>
      </c>
      <c r="T1045" s="2192">
        <f>S1045*H1045</f>
        <v>0</v>
      </c>
      <c r="AR1045" s="2193" t="s">
        <v>3389</v>
      </c>
      <c r="AT1045" s="2193" t="s">
        <v>135</v>
      </c>
      <c r="AU1045" s="2193" t="s">
        <v>134</v>
      </c>
      <c r="AY1045" s="2056" t="s">
        <v>3285</v>
      </c>
      <c r="BE1045" s="2194">
        <f>IF(N1045="základní",J1045,0)</f>
        <v>0</v>
      </c>
      <c r="BF1045" s="2194">
        <f>IF(N1045="snížená",J1045,0)</f>
        <v>0</v>
      </c>
      <c r="BG1045" s="2194">
        <f>IF(N1045="zákl. přenesená",J1045,0)</f>
        <v>0</v>
      </c>
      <c r="BH1045" s="2194">
        <f>IF(N1045="sníž. přenesená",J1045,0)</f>
        <v>0</v>
      </c>
      <c r="BI1045" s="2194">
        <f>IF(N1045="nulová",J1045,0)</f>
        <v>0</v>
      </c>
      <c r="BJ1045" s="2056" t="s">
        <v>134</v>
      </c>
      <c r="BK1045" s="2194">
        <f>ROUND(I1045*H1045,2)</f>
        <v>0</v>
      </c>
      <c r="BL1045" s="2056" t="s">
        <v>2894</v>
      </c>
      <c r="BM1045" s="2193" t="s">
        <v>4077</v>
      </c>
    </row>
    <row r="1046" spans="2:65" s="2195" customFormat="1">
      <c r="B1046" s="2196"/>
      <c r="C1046" s="5657"/>
      <c r="D1046" s="5658" t="s">
        <v>3303</v>
      </c>
      <c r="E1046" s="5659" t="s">
        <v>3146</v>
      </c>
      <c r="F1046" s="5652" t="s">
        <v>4073</v>
      </c>
      <c r="G1046" s="5657"/>
      <c r="H1046" s="5659" t="s">
        <v>3146</v>
      </c>
      <c r="I1046" s="5657"/>
      <c r="J1046" s="5657"/>
      <c r="K1046" s="5657"/>
      <c r="L1046" s="2196"/>
      <c r="M1046" s="2200"/>
      <c r="T1046" s="2201"/>
      <c r="AT1046" s="2198" t="s">
        <v>3303</v>
      </c>
      <c r="AU1046" s="2198" t="s">
        <v>134</v>
      </c>
      <c r="AV1046" s="2195" t="s">
        <v>133</v>
      </c>
      <c r="AW1046" s="2195" t="s">
        <v>3171</v>
      </c>
      <c r="AX1046" s="2195" t="s">
        <v>3213</v>
      </c>
      <c r="AY1046" s="2198" t="s">
        <v>3285</v>
      </c>
    </row>
    <row r="1047" spans="2:65" s="2209" customFormat="1" ht="22.5">
      <c r="B1047" s="2210"/>
      <c r="C1047" s="5657"/>
      <c r="D1047" s="5658" t="s">
        <v>3303</v>
      </c>
      <c r="E1047" s="5657"/>
      <c r="F1047" s="5652" t="s">
        <v>11756</v>
      </c>
      <c r="G1047" s="5657"/>
      <c r="H1047" s="5649">
        <f>(35.06+49.03+100.39+94.52)*1.05</f>
        <v>292.95</v>
      </c>
      <c r="I1047" s="5657"/>
      <c r="J1047" s="5657"/>
      <c r="K1047" s="5657"/>
      <c r="L1047" s="2210"/>
      <c r="M1047" s="2214"/>
      <c r="T1047" s="2215"/>
      <c r="AT1047" s="2211" t="s">
        <v>3303</v>
      </c>
      <c r="AU1047" s="2211" t="s">
        <v>134</v>
      </c>
      <c r="AV1047" s="2209" t="s">
        <v>134</v>
      </c>
      <c r="AW1047" s="2209" t="s">
        <v>3148</v>
      </c>
      <c r="AX1047" s="2209" t="s">
        <v>133</v>
      </c>
      <c r="AY1047" s="2211" t="s">
        <v>3285</v>
      </c>
    </row>
    <row r="1048" spans="2:65" s="2070" customFormat="1" ht="24.2" customHeight="1">
      <c r="B1048" s="2164"/>
      <c r="C1048" s="5561" t="s">
        <v>5783</v>
      </c>
      <c r="D1048" s="4608" t="s">
        <v>3286</v>
      </c>
      <c r="E1048" s="4609" t="s">
        <v>10972</v>
      </c>
      <c r="F1048" s="4610" t="s">
        <v>10973</v>
      </c>
      <c r="G1048" s="4611" t="s">
        <v>611</v>
      </c>
      <c r="H1048" s="4612">
        <v>655.09699999999998</v>
      </c>
      <c r="I1048" s="5874" t="s">
        <v>11555</v>
      </c>
      <c r="J1048" s="5875"/>
      <c r="K1048" s="4610" t="s">
        <v>142</v>
      </c>
      <c r="L1048" s="2071"/>
      <c r="M1048" s="2190" t="s">
        <v>3146</v>
      </c>
      <c r="N1048" s="2163" t="s">
        <v>3181</v>
      </c>
      <c r="O1048" s="2191">
        <v>0.11</v>
      </c>
      <c r="P1048" s="2191">
        <f>O1048*H1048</f>
        <v>72.060670000000002</v>
      </c>
      <c r="Q1048" s="2191">
        <v>0</v>
      </c>
      <c r="R1048" s="2191">
        <f>Q1048*H1048</f>
        <v>0</v>
      </c>
      <c r="S1048" s="2191">
        <v>0</v>
      </c>
      <c r="T1048" s="2192">
        <f>S1048*H1048</f>
        <v>0</v>
      </c>
      <c r="AR1048" s="2193" t="s">
        <v>2894</v>
      </c>
      <c r="AT1048" s="2193" t="s">
        <v>3286</v>
      </c>
      <c r="AU1048" s="2193" t="s">
        <v>134</v>
      </c>
      <c r="AY1048" s="2056" t="s">
        <v>3285</v>
      </c>
      <c r="BE1048" s="2194">
        <f>IF(N1048="základní",J1048,0)</f>
        <v>0</v>
      </c>
      <c r="BF1048" s="2194">
        <f>IF(N1048="snížená",J1048,0)</f>
        <v>0</v>
      </c>
      <c r="BG1048" s="2194">
        <f>IF(N1048="zákl. přenesená",J1048,0)</f>
        <v>0</v>
      </c>
      <c r="BH1048" s="2194">
        <f>IF(N1048="sníž. přenesená",J1048,0)</f>
        <v>0</v>
      </c>
      <c r="BI1048" s="2194">
        <f>IF(N1048="nulová",J1048,0)</f>
        <v>0</v>
      </c>
      <c r="BJ1048" s="2056" t="s">
        <v>134</v>
      </c>
      <c r="BK1048" s="2194">
        <v>0</v>
      </c>
      <c r="BL1048" s="2056" t="s">
        <v>2894</v>
      </c>
      <c r="BM1048" s="2193" t="s">
        <v>10974</v>
      </c>
    </row>
    <row r="1049" spans="2:65" s="2209" customFormat="1">
      <c r="B1049" s="2210"/>
      <c r="D1049" s="2197" t="s">
        <v>3303</v>
      </c>
      <c r="E1049" s="2211" t="s">
        <v>3146</v>
      </c>
      <c r="F1049" s="2212" t="s">
        <v>10975</v>
      </c>
      <c r="H1049" s="2213">
        <v>455.93099999999998</v>
      </c>
      <c r="L1049" s="2210"/>
      <c r="M1049" s="2214"/>
      <c r="T1049" s="2215"/>
      <c r="AT1049" s="2211" t="s">
        <v>3303</v>
      </c>
      <c r="AU1049" s="2211" t="s">
        <v>134</v>
      </c>
      <c r="AV1049" s="2209" t="s">
        <v>134</v>
      </c>
      <c r="AW1049" s="2209" t="s">
        <v>3171</v>
      </c>
      <c r="AX1049" s="2209" t="s">
        <v>3213</v>
      </c>
      <c r="AY1049" s="2211" t="s">
        <v>3285</v>
      </c>
    </row>
    <row r="1050" spans="2:65" s="2209" customFormat="1">
      <c r="B1050" s="2210"/>
      <c r="D1050" s="2197" t="s">
        <v>3303</v>
      </c>
      <c r="E1050" s="2211" t="s">
        <v>3146</v>
      </c>
      <c r="F1050" s="2212" t="s">
        <v>10976</v>
      </c>
      <c r="H1050" s="2213">
        <v>108.19</v>
      </c>
      <c r="L1050" s="2210"/>
      <c r="M1050" s="2214"/>
      <c r="T1050" s="2215"/>
      <c r="AT1050" s="2211" t="s">
        <v>3303</v>
      </c>
      <c r="AU1050" s="2211" t="s">
        <v>134</v>
      </c>
      <c r="AV1050" s="2209" t="s">
        <v>134</v>
      </c>
      <c r="AW1050" s="2209" t="s">
        <v>3171</v>
      </c>
      <c r="AX1050" s="2209" t="s">
        <v>3213</v>
      </c>
      <c r="AY1050" s="2211" t="s">
        <v>3285</v>
      </c>
    </row>
    <row r="1051" spans="2:65" s="2209" customFormat="1">
      <c r="B1051" s="2210"/>
      <c r="D1051" s="2197" t="s">
        <v>3303</v>
      </c>
      <c r="E1051" s="2211" t="s">
        <v>3146</v>
      </c>
      <c r="F1051" s="2212" t="s">
        <v>4042</v>
      </c>
      <c r="H1051" s="2213">
        <v>73.575999999999993</v>
      </c>
      <c r="L1051" s="2210"/>
      <c r="M1051" s="2214"/>
      <c r="T1051" s="2215"/>
      <c r="AT1051" s="2211" t="s">
        <v>3303</v>
      </c>
      <c r="AU1051" s="2211" t="s">
        <v>134</v>
      </c>
      <c r="AV1051" s="2209" t="s">
        <v>134</v>
      </c>
      <c r="AW1051" s="2209" t="s">
        <v>3171</v>
      </c>
      <c r="AX1051" s="2209" t="s">
        <v>3213</v>
      </c>
      <c r="AY1051" s="2211" t="s">
        <v>3285</v>
      </c>
    </row>
    <row r="1052" spans="2:65" s="2209" customFormat="1">
      <c r="B1052" s="2210"/>
      <c r="D1052" s="2197" t="s">
        <v>3303</v>
      </c>
      <c r="E1052" s="2211" t="s">
        <v>3146</v>
      </c>
      <c r="F1052" s="2212" t="s">
        <v>4085</v>
      </c>
      <c r="H1052" s="2213">
        <v>17.399999999999999</v>
      </c>
      <c r="L1052" s="2210"/>
      <c r="M1052" s="2214"/>
      <c r="T1052" s="2215"/>
      <c r="AT1052" s="2211" t="s">
        <v>3303</v>
      </c>
      <c r="AU1052" s="2211" t="s">
        <v>134</v>
      </c>
      <c r="AV1052" s="2209" t="s">
        <v>134</v>
      </c>
      <c r="AW1052" s="2209" t="s">
        <v>3171</v>
      </c>
      <c r="AX1052" s="2209" t="s">
        <v>3213</v>
      </c>
      <c r="AY1052" s="2211" t="s">
        <v>3285</v>
      </c>
    </row>
    <row r="1053" spans="2:65" s="2216" customFormat="1">
      <c r="B1053" s="2217"/>
      <c r="D1053" s="2197" t="s">
        <v>3303</v>
      </c>
      <c r="E1053" s="2218" t="s">
        <v>3146</v>
      </c>
      <c r="F1053" s="2219" t="s">
        <v>3306</v>
      </c>
      <c r="H1053" s="2220">
        <v>655.09699999999998</v>
      </c>
      <c r="L1053" s="2217"/>
      <c r="M1053" s="2221"/>
      <c r="T1053" s="2222"/>
      <c r="AT1053" s="2218" t="s">
        <v>3303</v>
      </c>
      <c r="AU1053" s="2218" t="s">
        <v>134</v>
      </c>
      <c r="AV1053" s="2216" t="s">
        <v>856</v>
      </c>
      <c r="AW1053" s="2216" t="s">
        <v>3171</v>
      </c>
      <c r="AX1053" s="2216" t="s">
        <v>133</v>
      </c>
      <c r="AY1053" s="2218" t="s">
        <v>3285</v>
      </c>
    </row>
    <row r="1054" spans="2:65" s="2070" customFormat="1" ht="24.2" customHeight="1">
      <c r="B1054" s="2164"/>
      <c r="C1054" s="5609" t="s">
        <v>5802</v>
      </c>
      <c r="D1054" s="4614" t="s">
        <v>135</v>
      </c>
      <c r="E1054" s="4615" t="s">
        <v>10977</v>
      </c>
      <c r="F1054" s="4616" t="s">
        <v>10978</v>
      </c>
      <c r="G1054" s="4617" t="s">
        <v>611</v>
      </c>
      <c r="H1054" s="4618">
        <v>687.85199999999998</v>
      </c>
      <c r="I1054" s="5874" t="s">
        <v>11555</v>
      </c>
      <c r="J1054" s="5875"/>
      <c r="K1054" s="4616" t="s">
        <v>142</v>
      </c>
      <c r="L1054" s="2223"/>
      <c r="M1054" s="2224" t="s">
        <v>3146</v>
      </c>
      <c r="N1054" s="2225" t="s">
        <v>3181</v>
      </c>
      <c r="O1054" s="2191">
        <v>0</v>
      </c>
      <c r="P1054" s="2191">
        <f>O1054*H1054</f>
        <v>0</v>
      </c>
      <c r="Q1054" s="2191">
        <v>3.0000000000000001E-3</v>
      </c>
      <c r="R1054" s="2191">
        <f>Q1054*H1054</f>
        <v>2.0635560000000002</v>
      </c>
      <c r="S1054" s="2191">
        <v>0</v>
      </c>
      <c r="T1054" s="2192">
        <f>S1054*H1054</f>
        <v>0</v>
      </c>
      <c r="AR1054" s="2193" t="s">
        <v>3389</v>
      </c>
      <c r="AT1054" s="2193" t="s">
        <v>135</v>
      </c>
      <c r="AU1054" s="2193" t="s">
        <v>134</v>
      </c>
      <c r="AY1054" s="2056" t="s">
        <v>3285</v>
      </c>
      <c r="BE1054" s="2194">
        <f>IF(N1054="základní",J1054,0)</f>
        <v>0</v>
      </c>
      <c r="BF1054" s="2194">
        <f>IF(N1054="snížená",J1054,0)</f>
        <v>0</v>
      </c>
      <c r="BG1054" s="2194">
        <f>IF(N1054="zákl. přenesená",J1054,0)</f>
        <v>0</v>
      </c>
      <c r="BH1054" s="2194">
        <f>IF(N1054="sníž. přenesená",J1054,0)</f>
        <v>0</v>
      </c>
      <c r="BI1054" s="2194">
        <f>IF(N1054="nulová",J1054,0)</f>
        <v>0</v>
      </c>
      <c r="BJ1054" s="2056" t="s">
        <v>134</v>
      </c>
      <c r="BK1054" s="2194">
        <v>0</v>
      </c>
      <c r="BL1054" s="2056" t="s">
        <v>2894</v>
      </c>
      <c r="BM1054" s="2193" t="s">
        <v>10979</v>
      </c>
    </row>
    <row r="1055" spans="2:65" s="2209" customFormat="1">
      <c r="B1055" s="2210"/>
      <c r="D1055" s="2197" t="s">
        <v>3303</v>
      </c>
      <c r="F1055" s="2212" t="s">
        <v>10980</v>
      </c>
      <c r="H1055" s="2213">
        <v>687.85199999999998</v>
      </c>
      <c r="L1055" s="2210"/>
      <c r="M1055" s="2214"/>
      <c r="T1055" s="2215"/>
      <c r="AT1055" s="2211" t="s">
        <v>3303</v>
      </c>
      <c r="AU1055" s="2211" t="s">
        <v>134</v>
      </c>
      <c r="AV1055" s="2209" t="s">
        <v>134</v>
      </c>
      <c r="AW1055" s="2209" t="s">
        <v>3148</v>
      </c>
      <c r="AX1055" s="2209" t="s">
        <v>133</v>
      </c>
      <c r="AY1055" s="2211" t="s">
        <v>3285</v>
      </c>
    </row>
    <row r="1056" spans="2:65" s="2070" customFormat="1" ht="33" customHeight="1">
      <c r="B1056" s="2164"/>
      <c r="C1056" s="5561" t="s">
        <v>5811</v>
      </c>
      <c r="D1056" s="4608" t="s">
        <v>3286</v>
      </c>
      <c r="E1056" s="4609" t="s">
        <v>10981</v>
      </c>
      <c r="F1056" s="4610" t="s">
        <v>10982</v>
      </c>
      <c r="G1056" s="4611" t="s">
        <v>611</v>
      </c>
      <c r="H1056" s="4612">
        <v>478</v>
      </c>
      <c r="I1056" s="5874" t="s">
        <v>11555</v>
      </c>
      <c r="J1056" s="5875"/>
      <c r="K1056" s="4610" t="s">
        <v>142</v>
      </c>
      <c r="L1056" s="2071"/>
      <c r="M1056" s="2190" t="s">
        <v>3146</v>
      </c>
      <c r="N1056" s="2163" t="s">
        <v>3181</v>
      </c>
      <c r="O1056" s="2191">
        <v>0.57799999999999996</v>
      </c>
      <c r="P1056" s="2191">
        <f>O1056*H1056</f>
        <v>276.28399999999999</v>
      </c>
      <c r="Q1056" s="2191">
        <v>1.17E-3</v>
      </c>
      <c r="R1056" s="2191">
        <f>Q1056*H1056</f>
        <v>0.55925999999999998</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v>0</v>
      </c>
      <c r="BL1056" s="2056" t="s">
        <v>2894</v>
      </c>
      <c r="BM1056" s="2193" t="s">
        <v>10983</v>
      </c>
    </row>
    <row r="1057" spans="2:65" s="2209" customFormat="1">
      <c r="B1057" s="2210"/>
      <c r="D1057" s="2197" t="s">
        <v>3303</v>
      </c>
      <c r="E1057" s="2211" t="s">
        <v>3146</v>
      </c>
      <c r="F1057" s="2212" t="s">
        <v>10984</v>
      </c>
      <c r="H1057" s="2213">
        <v>478</v>
      </c>
      <c r="L1057" s="2217"/>
      <c r="M1057" s="2214"/>
      <c r="T1057" s="2215"/>
      <c r="AT1057" s="2211" t="s">
        <v>3303</v>
      </c>
      <c r="AU1057" s="2211" t="s">
        <v>134</v>
      </c>
      <c r="AV1057" s="2209" t="s">
        <v>134</v>
      </c>
      <c r="AW1057" s="2209" t="s">
        <v>3171</v>
      </c>
      <c r="AX1057" s="2209" t="s">
        <v>133</v>
      </c>
      <c r="AY1057" s="2211" t="s">
        <v>3285</v>
      </c>
    </row>
    <row r="1058" spans="2:65" s="2070" customFormat="1" ht="24.2" customHeight="1">
      <c r="B1058" s="2164"/>
      <c r="C1058" s="5609" t="s">
        <v>5190</v>
      </c>
      <c r="D1058" s="4614" t="s">
        <v>135</v>
      </c>
      <c r="E1058" s="4615" t="s">
        <v>4116</v>
      </c>
      <c r="F1058" s="4616" t="s">
        <v>4117</v>
      </c>
      <c r="G1058" s="4617" t="s">
        <v>611</v>
      </c>
      <c r="H1058" s="4618">
        <v>478.72800000000001</v>
      </c>
      <c r="I1058" s="5874" t="s">
        <v>11555</v>
      </c>
      <c r="J1058" s="5875"/>
      <c r="K1058" s="4616" t="s">
        <v>3146</v>
      </c>
      <c r="L1058" s="2223"/>
      <c r="M1058" s="2224" t="s">
        <v>3146</v>
      </c>
      <c r="N1058" s="2225" t="s">
        <v>3181</v>
      </c>
      <c r="O1058" s="2191">
        <v>0</v>
      </c>
      <c r="P1058" s="2191">
        <f>O1058*H1058</f>
        <v>0</v>
      </c>
      <c r="Q1058" s="2191">
        <v>1.6000000000000001E-3</v>
      </c>
      <c r="R1058" s="2191">
        <f>Q1058*H1058</f>
        <v>0.7659648</v>
      </c>
      <c r="S1058" s="2191">
        <v>0</v>
      </c>
      <c r="T1058" s="2192">
        <f>S1058*H1058</f>
        <v>0</v>
      </c>
      <c r="AR1058" s="2193" t="s">
        <v>3389</v>
      </c>
      <c r="AT1058" s="2193" t="s">
        <v>135</v>
      </c>
      <c r="AU1058" s="2193" t="s">
        <v>134</v>
      </c>
      <c r="AY1058" s="2056" t="s">
        <v>3285</v>
      </c>
      <c r="BE1058" s="2194">
        <f>IF(N1058="základní",J1058,0)</f>
        <v>0</v>
      </c>
      <c r="BF1058" s="2194">
        <f>IF(N1058="snížená",J1058,0)</f>
        <v>0</v>
      </c>
      <c r="BG1058" s="2194">
        <f>IF(N1058="zákl. přenesená",J1058,0)</f>
        <v>0</v>
      </c>
      <c r="BH1058" s="2194">
        <f>IF(N1058="sníž. přenesená",J1058,0)</f>
        <v>0</v>
      </c>
      <c r="BI1058" s="2194">
        <f>IF(N1058="nulová",J1058,0)</f>
        <v>0</v>
      </c>
      <c r="BJ1058" s="2056" t="s">
        <v>134</v>
      </c>
      <c r="BK1058" s="2194">
        <v>0</v>
      </c>
      <c r="BL1058" s="2056" t="s">
        <v>2894</v>
      </c>
      <c r="BM1058" s="2193" t="s">
        <v>4118</v>
      </c>
    </row>
    <row r="1059" spans="2:65" s="2209" customFormat="1">
      <c r="B1059" s="2210"/>
      <c r="D1059" s="2197" t="s">
        <v>3303</v>
      </c>
      <c r="F1059" s="2212" t="s">
        <v>4119</v>
      </c>
      <c r="H1059" s="2213">
        <v>478.72800000000001</v>
      </c>
      <c r="L1059" s="2210"/>
      <c r="M1059" s="2214"/>
      <c r="T1059" s="2215"/>
      <c r="AT1059" s="2211" t="s">
        <v>3303</v>
      </c>
      <c r="AU1059" s="2211" t="s">
        <v>134</v>
      </c>
      <c r="AV1059" s="2209" t="s">
        <v>134</v>
      </c>
      <c r="AW1059" s="2209" t="s">
        <v>3148</v>
      </c>
      <c r="AX1059" s="2209" t="s">
        <v>133</v>
      </c>
      <c r="AY1059" s="2211" t="s">
        <v>3285</v>
      </c>
    </row>
    <row r="1060" spans="2:65" s="2070" customFormat="1" ht="24.2" customHeight="1">
      <c r="B1060" s="2164"/>
      <c r="C1060" s="5561" t="s">
        <v>5198</v>
      </c>
      <c r="D1060" s="4608" t="s">
        <v>3286</v>
      </c>
      <c r="E1060" s="4609" t="s">
        <v>4080</v>
      </c>
      <c r="F1060" s="4610" t="s">
        <v>4081</v>
      </c>
      <c r="G1060" s="4611" t="s">
        <v>611</v>
      </c>
      <c r="H1060" s="5568">
        <f>H1062</f>
        <v>156.97</v>
      </c>
      <c r="I1060" s="4613"/>
      <c r="J1060" s="4613">
        <f>ROUND(I1060*H1060,2)</f>
        <v>0</v>
      </c>
      <c r="K1060" s="4610" t="s">
        <v>142</v>
      </c>
      <c r="L1060" s="2071"/>
      <c r="M1060" s="2190" t="s">
        <v>3146</v>
      </c>
      <c r="N1060" s="2163" t="s">
        <v>3181</v>
      </c>
      <c r="O1060" s="2191">
        <v>0.72799999999999998</v>
      </c>
      <c r="P1060" s="2191">
        <f>O1060*H1060</f>
        <v>114.27415999999999</v>
      </c>
      <c r="Q1060" s="2191">
        <v>1.32E-3</v>
      </c>
      <c r="R1060" s="2191">
        <f>Q1060*H1060</f>
        <v>0.20720040000000001</v>
      </c>
      <c r="S1060" s="2191">
        <v>0</v>
      </c>
      <c r="T1060" s="2192">
        <f>S1060*H1060</f>
        <v>0</v>
      </c>
      <c r="AR1060" s="2193" t="s">
        <v>2894</v>
      </c>
      <c r="AT1060" s="2193" t="s">
        <v>3286</v>
      </c>
      <c r="AU1060" s="2193" t="s">
        <v>134</v>
      </c>
      <c r="AY1060" s="2056" t="s">
        <v>3285</v>
      </c>
      <c r="BE1060" s="2194">
        <f>IF(N1060="základní",J1060,0)</f>
        <v>0</v>
      </c>
      <c r="BF1060" s="2194">
        <f>IF(N1060="snížená",J1060,0)</f>
        <v>0</v>
      </c>
      <c r="BG1060" s="2194">
        <f>IF(N1060="zákl. přenesená",J1060,0)</f>
        <v>0</v>
      </c>
      <c r="BH1060" s="2194">
        <f>IF(N1060="sníž. přenesená",J1060,0)</f>
        <v>0</v>
      </c>
      <c r="BI1060" s="2194">
        <f>IF(N1060="nulová",J1060,0)</f>
        <v>0</v>
      </c>
      <c r="BJ1060" s="2056" t="s">
        <v>134</v>
      </c>
      <c r="BK1060" s="2194">
        <f>ROUND(I1060*H1060,2)</f>
        <v>0</v>
      </c>
      <c r="BL1060" s="2056" t="s">
        <v>2894</v>
      </c>
      <c r="BM1060" s="2193" t="s">
        <v>4082</v>
      </c>
    </row>
    <row r="1061" spans="2:65" s="2195" customFormat="1">
      <c r="B1061" s="2196"/>
      <c r="D1061" s="2197" t="s">
        <v>3303</v>
      </c>
      <c r="E1061" s="2198" t="s">
        <v>3146</v>
      </c>
      <c r="F1061" s="2199" t="s">
        <v>4083</v>
      </c>
      <c r="H1061" s="2198" t="s">
        <v>3146</v>
      </c>
      <c r="L1061" s="2196"/>
      <c r="M1061" s="2200"/>
      <c r="T1061" s="2201"/>
      <c r="AT1061" s="2198" t="s">
        <v>3303</v>
      </c>
      <c r="AU1061" s="2198" t="s">
        <v>134</v>
      </c>
      <c r="AV1061" s="2195" t="s">
        <v>133</v>
      </c>
      <c r="AW1061" s="2195" t="s">
        <v>3171</v>
      </c>
      <c r="AX1061" s="2195" t="s">
        <v>3213</v>
      </c>
      <c r="AY1061" s="2198" t="s">
        <v>3285</v>
      </c>
    </row>
    <row r="1062" spans="2:65" s="2209" customFormat="1">
      <c r="B1062" s="2210"/>
      <c r="D1062" s="2197" t="s">
        <v>3303</v>
      </c>
      <c r="E1062" s="2211" t="s">
        <v>3146</v>
      </c>
      <c r="F1062" s="5560" t="s">
        <v>11667</v>
      </c>
      <c r="H1062" s="5569">
        <f>99.11+28.83+29.03</f>
        <v>156.97</v>
      </c>
      <c r="L1062" s="2210"/>
      <c r="M1062" s="2214"/>
      <c r="T1062" s="2215"/>
      <c r="Y1062" s="5611"/>
      <c r="AT1062" s="2211" t="s">
        <v>3303</v>
      </c>
      <c r="AU1062" s="2211" t="s">
        <v>134</v>
      </c>
      <c r="AV1062" s="2209" t="s">
        <v>134</v>
      </c>
      <c r="AW1062" s="2209" t="s">
        <v>3171</v>
      </c>
      <c r="AX1062" s="2209" t="s">
        <v>3213</v>
      </c>
      <c r="AY1062" s="2211" t="s">
        <v>3285</v>
      </c>
    </row>
    <row r="1063" spans="2:65" s="2070" customFormat="1" ht="37.9" customHeight="1">
      <c r="B1063" s="2164"/>
      <c r="C1063" s="5609" t="s">
        <v>5202</v>
      </c>
      <c r="D1063" s="4614" t="s">
        <v>135</v>
      </c>
      <c r="E1063" s="4615" t="s">
        <v>4087</v>
      </c>
      <c r="F1063" s="4616" t="s">
        <v>4088</v>
      </c>
      <c r="G1063" s="4617" t="s">
        <v>611</v>
      </c>
      <c r="H1063" s="5610">
        <f>H1064</f>
        <v>164.8185</v>
      </c>
      <c r="I1063" s="4619"/>
      <c r="J1063" s="4619">
        <f>ROUND(I1063*H1063,2)</f>
        <v>0</v>
      </c>
      <c r="K1063" s="4616" t="s">
        <v>142</v>
      </c>
      <c r="L1063" s="2223"/>
      <c r="M1063" s="2224" t="s">
        <v>3146</v>
      </c>
      <c r="N1063" s="2225" t="s">
        <v>3181</v>
      </c>
      <c r="O1063" s="2191">
        <v>0</v>
      </c>
      <c r="P1063" s="2191">
        <f>O1063*H1063</f>
        <v>0</v>
      </c>
      <c r="Q1063" s="2191">
        <v>3.0000000000000001E-3</v>
      </c>
      <c r="R1063" s="2191">
        <f>Q1063*H1063</f>
        <v>0.49445549999999999</v>
      </c>
      <c r="S1063" s="2191">
        <v>0</v>
      </c>
      <c r="T1063" s="2192">
        <f>S1063*H1063</f>
        <v>0</v>
      </c>
      <c r="AR1063" s="2193" t="s">
        <v>3389</v>
      </c>
      <c r="AT1063" s="2193" t="s">
        <v>135</v>
      </c>
      <c r="AU1063" s="2193" t="s">
        <v>134</v>
      </c>
      <c r="AY1063" s="2056" t="s">
        <v>3285</v>
      </c>
      <c r="BE1063" s="2194">
        <f>IF(N1063="základní",J1063,0)</f>
        <v>0</v>
      </c>
      <c r="BF1063" s="2194">
        <f>IF(N1063="snížená",J1063,0)</f>
        <v>0</v>
      </c>
      <c r="BG1063" s="2194">
        <f>IF(N1063="zákl. přenesená",J1063,0)</f>
        <v>0</v>
      </c>
      <c r="BH1063" s="2194">
        <f>IF(N1063="sníž. přenesená",J1063,0)</f>
        <v>0</v>
      </c>
      <c r="BI1063" s="2194">
        <f>IF(N1063="nulová",J1063,0)</f>
        <v>0</v>
      </c>
      <c r="BJ1063" s="2056" t="s">
        <v>134</v>
      </c>
      <c r="BK1063" s="2194">
        <f>ROUND(I1063*H1063,2)</f>
        <v>0</v>
      </c>
      <c r="BL1063" s="2056" t="s">
        <v>2894</v>
      </c>
      <c r="BM1063" s="2193" t="s">
        <v>10985</v>
      </c>
    </row>
    <row r="1064" spans="2:65" s="2209" customFormat="1">
      <c r="B1064" s="2210"/>
      <c r="D1064" s="2197" t="s">
        <v>3303</v>
      </c>
      <c r="F1064" s="5560" t="s">
        <v>11668</v>
      </c>
      <c r="H1064" s="5569">
        <f>156.97*1.05</f>
        <v>164.8185</v>
      </c>
      <c r="L1064" s="2210"/>
      <c r="M1064" s="2214"/>
      <c r="T1064" s="2215"/>
      <c r="AT1064" s="2211" t="s">
        <v>3303</v>
      </c>
      <c r="AU1064" s="2211" t="s">
        <v>134</v>
      </c>
      <c r="AV1064" s="2209" t="s">
        <v>134</v>
      </c>
      <c r="AW1064" s="2209" t="s">
        <v>3148</v>
      </c>
      <c r="AX1064" s="2209" t="s">
        <v>133</v>
      </c>
      <c r="AY1064" s="2211" t="s">
        <v>3285</v>
      </c>
    </row>
    <row r="1065" spans="2:65" s="2070" customFormat="1" ht="37.9" customHeight="1">
      <c r="B1065" s="2164"/>
      <c r="C1065" s="5609" t="s">
        <v>5206</v>
      </c>
      <c r="D1065" s="4614" t="s">
        <v>135</v>
      </c>
      <c r="E1065" s="4615" t="s">
        <v>4087</v>
      </c>
      <c r="F1065" s="4616" t="s">
        <v>4088</v>
      </c>
      <c r="G1065" s="4617" t="s">
        <v>611</v>
      </c>
      <c r="H1065" s="4618">
        <v>138.149</v>
      </c>
      <c r="I1065" s="5874" t="s">
        <v>11555</v>
      </c>
      <c r="J1065" s="5875"/>
      <c r="K1065" s="4616" t="s">
        <v>142</v>
      </c>
      <c r="L1065" s="2223"/>
      <c r="M1065" s="2224" t="s">
        <v>3146</v>
      </c>
      <c r="N1065" s="2225" t="s">
        <v>3181</v>
      </c>
      <c r="O1065" s="2191">
        <v>0</v>
      </c>
      <c r="P1065" s="2191">
        <f>O1065*H1065</f>
        <v>0</v>
      </c>
      <c r="Q1065" s="2191">
        <v>3.0000000000000001E-3</v>
      </c>
      <c r="R1065" s="2191">
        <f>Q1065*H1065</f>
        <v>0.41444700000000001</v>
      </c>
      <c r="S1065" s="2191">
        <v>0</v>
      </c>
      <c r="T1065" s="2192">
        <f>S1065*H1065</f>
        <v>0</v>
      </c>
      <c r="AR1065" s="2193" t="s">
        <v>3389</v>
      </c>
      <c r="AT1065" s="2193" t="s">
        <v>135</v>
      </c>
      <c r="AU1065" s="2193" t="s">
        <v>134</v>
      </c>
      <c r="AY1065" s="2056" t="s">
        <v>3285</v>
      </c>
      <c r="BE1065" s="2194">
        <f>IF(N1065="základní",I1065,0)</f>
        <v>0</v>
      </c>
      <c r="BF1065" s="2194">
        <v>0</v>
      </c>
      <c r="BG1065" s="2194">
        <f>IF(N1065="zákl. přenesená",I1065,0)</f>
        <v>0</v>
      </c>
      <c r="BH1065" s="2194">
        <f>IF(N1065="sníž. přenesená",I1065,0)</f>
        <v>0</v>
      </c>
      <c r="BI1065" s="2194">
        <f>IF(N1065="nulová",I1065,0)</f>
        <v>0</v>
      </c>
      <c r="BJ1065" s="2056" t="s">
        <v>134</v>
      </c>
      <c r="BK1065" s="2194">
        <v>0</v>
      </c>
      <c r="BL1065" s="2056" t="s">
        <v>2894</v>
      </c>
      <c r="BM1065" s="2193" t="s">
        <v>4089</v>
      </c>
    </row>
    <row r="1066" spans="2:65" s="2209" customFormat="1">
      <c r="B1066" s="2210"/>
      <c r="D1066" s="2197" t="s">
        <v>3303</v>
      </c>
      <c r="F1066" s="2212" t="s">
        <v>11672</v>
      </c>
      <c r="H1066" s="2213">
        <v>138.149</v>
      </c>
      <c r="L1066" s="2210"/>
      <c r="M1066" s="2214"/>
      <c r="T1066" s="2215"/>
      <c r="AT1066" s="2211" t="s">
        <v>3303</v>
      </c>
      <c r="AU1066" s="2211" t="s">
        <v>134</v>
      </c>
      <c r="AV1066" s="2209" t="s">
        <v>134</v>
      </c>
      <c r="AW1066" s="2209" t="s">
        <v>3148</v>
      </c>
      <c r="AX1066" s="2209" t="s">
        <v>133</v>
      </c>
      <c r="AY1066" s="2211" t="s">
        <v>3285</v>
      </c>
    </row>
    <row r="1067" spans="2:65" s="2070" customFormat="1" ht="24.2" customHeight="1">
      <c r="B1067" s="2164"/>
      <c r="C1067" s="5561" t="s">
        <v>11673</v>
      </c>
      <c r="D1067" s="5561" t="s">
        <v>3286</v>
      </c>
      <c r="E1067" s="5567" t="s">
        <v>10981</v>
      </c>
      <c r="F1067" s="5566" t="s">
        <v>10982</v>
      </c>
      <c r="G1067" s="5570" t="s">
        <v>611</v>
      </c>
      <c r="H1067" s="5568">
        <f>H1069</f>
        <v>35.07</v>
      </c>
      <c r="I1067" s="5571"/>
      <c r="J1067" s="5571">
        <f>ROUND(I1067*H1067,2)</f>
        <v>0</v>
      </c>
      <c r="K1067" s="5566" t="s">
        <v>142</v>
      </c>
      <c r="L1067" s="2071"/>
      <c r="M1067" s="2190" t="s">
        <v>3146</v>
      </c>
      <c r="N1067" s="2163" t="s">
        <v>3181</v>
      </c>
      <c r="O1067" s="2191">
        <v>0.72799999999999998</v>
      </c>
      <c r="P1067" s="2191">
        <f>O1067*H1067</f>
        <v>25.53096</v>
      </c>
      <c r="Q1067" s="2191">
        <v>1.32E-3</v>
      </c>
      <c r="R1067" s="2191">
        <f>Q1067*H1067</f>
        <v>4.6292399999999997E-2</v>
      </c>
      <c r="S1067" s="2191">
        <v>0</v>
      </c>
      <c r="T1067" s="2192">
        <f>S1067*H1067</f>
        <v>0</v>
      </c>
      <c r="AR1067" s="2193" t="s">
        <v>2894</v>
      </c>
      <c r="AT1067" s="2193" t="s">
        <v>3286</v>
      </c>
      <c r="AU1067" s="2193" t="s">
        <v>134</v>
      </c>
      <c r="AY1067" s="2056" t="s">
        <v>3285</v>
      </c>
      <c r="BE1067" s="2194">
        <f>IF(N1067="základní",J1067,0)</f>
        <v>0</v>
      </c>
      <c r="BF1067" s="2194">
        <v>0</v>
      </c>
      <c r="BG1067" s="2194">
        <f>IF(N1067="zákl. přenesená",J1067,0)</f>
        <v>0</v>
      </c>
      <c r="BH1067" s="2194">
        <f>IF(N1067="sníž. přenesená",J1067,0)</f>
        <v>0</v>
      </c>
      <c r="BI1067" s="2194">
        <f>IF(N1067="nulová",J1067,0)</f>
        <v>0</v>
      </c>
      <c r="BJ1067" s="2056" t="s">
        <v>134</v>
      </c>
      <c r="BK1067" s="2194">
        <f>ROUND(I1067*H1067,2)</f>
        <v>0</v>
      </c>
      <c r="BL1067" s="2056" t="s">
        <v>2894</v>
      </c>
      <c r="BM1067" s="2193" t="s">
        <v>4082</v>
      </c>
    </row>
    <row r="1068" spans="2:65" s="2195" customFormat="1">
      <c r="B1068" s="2196"/>
      <c r="D1068" s="2197" t="s">
        <v>3303</v>
      </c>
      <c r="E1068" s="2198" t="s">
        <v>3146</v>
      </c>
      <c r="F1068" s="2199" t="s">
        <v>4084</v>
      </c>
      <c r="H1068" s="2198" t="s">
        <v>3146</v>
      </c>
      <c r="L1068" s="2196"/>
      <c r="M1068" s="2200"/>
      <c r="T1068" s="2201"/>
      <c r="AT1068" s="2198" t="s">
        <v>3303</v>
      </c>
      <c r="AU1068" s="2198" t="s">
        <v>134</v>
      </c>
      <c r="AV1068" s="2195" t="s">
        <v>133</v>
      </c>
      <c r="AW1068" s="2195" t="s">
        <v>3171</v>
      </c>
      <c r="AX1068" s="2195" t="s">
        <v>3213</v>
      </c>
      <c r="AY1068" s="2198" t="s">
        <v>3285</v>
      </c>
    </row>
    <row r="1069" spans="2:65" s="2209" customFormat="1">
      <c r="B1069" s="2210"/>
      <c r="D1069" s="2197" t="s">
        <v>3303</v>
      </c>
      <c r="E1069" s="2211" t="s">
        <v>3146</v>
      </c>
      <c r="F1069" s="5560" t="s">
        <v>11665</v>
      </c>
      <c r="G1069" s="5574"/>
      <c r="H1069" s="5569">
        <f>17.67+17.4</f>
        <v>35.07</v>
      </c>
      <c r="L1069" s="2210"/>
      <c r="M1069" s="2214"/>
      <c r="T1069" s="2215"/>
      <c r="AT1069" s="2211" t="s">
        <v>3303</v>
      </c>
      <c r="AU1069" s="2211" t="s">
        <v>134</v>
      </c>
      <c r="AV1069" s="2209" t="s">
        <v>134</v>
      </c>
      <c r="AW1069" s="2209" t="s">
        <v>3171</v>
      </c>
      <c r="AX1069" s="2209" t="s">
        <v>3213</v>
      </c>
      <c r="AY1069" s="2211" t="s">
        <v>3285</v>
      </c>
    </row>
    <row r="1070" spans="2:65" s="2070" customFormat="1" ht="37.9" customHeight="1">
      <c r="B1070" s="2164"/>
      <c r="C1070" s="5609" t="s">
        <v>11674</v>
      </c>
      <c r="D1070" s="5609" t="s">
        <v>135</v>
      </c>
      <c r="E1070" s="5612" t="s">
        <v>11675</v>
      </c>
      <c r="F1070" s="5613" t="s">
        <v>11676</v>
      </c>
      <c r="G1070" s="5614" t="s">
        <v>611</v>
      </c>
      <c r="H1070" s="5610">
        <f>H1071</f>
        <v>38.577000000000005</v>
      </c>
      <c r="I1070" s="5615"/>
      <c r="J1070" s="5615">
        <f>ROUND(I1070*H1070,2)</f>
        <v>0</v>
      </c>
      <c r="K1070" s="5613" t="s">
        <v>142</v>
      </c>
      <c r="L1070" s="2223"/>
      <c r="M1070" s="2224" t="s">
        <v>3146</v>
      </c>
      <c r="N1070" s="2225" t="s">
        <v>3181</v>
      </c>
      <c r="O1070" s="2191">
        <v>0</v>
      </c>
      <c r="P1070" s="2191">
        <f>O1070*H1070</f>
        <v>0</v>
      </c>
      <c r="Q1070" s="2191">
        <v>3.0000000000000001E-3</v>
      </c>
      <c r="R1070" s="2191">
        <f>Q1070*H1070</f>
        <v>0.11573100000000001</v>
      </c>
      <c r="S1070" s="2191">
        <v>0</v>
      </c>
      <c r="T1070" s="2192">
        <f>S1070*H1070</f>
        <v>0</v>
      </c>
      <c r="AR1070" s="2193" t="s">
        <v>3389</v>
      </c>
      <c r="AT1070" s="2193" t="s">
        <v>135</v>
      </c>
      <c r="AU1070" s="2193" t="s">
        <v>134</v>
      </c>
      <c r="AY1070" s="2056" t="s">
        <v>3285</v>
      </c>
      <c r="BE1070" s="2194">
        <f>IF(N1070="základní",J1070,0)</f>
        <v>0</v>
      </c>
      <c r="BF1070" s="2194">
        <f>IF(N1070="snížená",J1070,0)</f>
        <v>0</v>
      </c>
      <c r="BG1070" s="2194">
        <f>IF(N1070="zákl. přenesená",J1070,0)</f>
        <v>0</v>
      </c>
      <c r="BH1070" s="2194">
        <f>IF(N1070="sníž. přenesená",J1070,0)</f>
        <v>0</v>
      </c>
      <c r="BI1070" s="2194">
        <f>IF(N1070="nulová",J1070,0)</f>
        <v>0</v>
      </c>
      <c r="BJ1070" s="2056" t="s">
        <v>134</v>
      </c>
      <c r="BK1070" s="2194">
        <f>ROUND(I1070*H1070,2)</f>
        <v>0</v>
      </c>
      <c r="BL1070" s="2056" t="s">
        <v>2894</v>
      </c>
      <c r="BM1070" s="2193" t="s">
        <v>4089</v>
      </c>
    </row>
    <row r="1071" spans="2:65" s="2209" customFormat="1">
      <c r="B1071" s="2210"/>
      <c r="D1071" s="2197" t="s">
        <v>3303</v>
      </c>
      <c r="F1071" s="5560" t="s">
        <v>11666</v>
      </c>
      <c r="G1071" s="5574"/>
      <c r="H1071" s="5569">
        <f>35.07*1.1</f>
        <v>38.577000000000005</v>
      </c>
      <c r="L1071" s="2210"/>
      <c r="M1071" s="2214"/>
      <c r="T1071" s="2215"/>
      <c r="AT1071" s="2211" t="s">
        <v>3303</v>
      </c>
      <c r="AU1071" s="2211" t="s">
        <v>134</v>
      </c>
      <c r="AV1071" s="2209" t="s">
        <v>134</v>
      </c>
      <c r="AW1071" s="2209" t="s">
        <v>3148</v>
      </c>
      <c r="AX1071" s="2209" t="s">
        <v>133</v>
      </c>
      <c r="AY1071" s="2211" t="s">
        <v>3285</v>
      </c>
    </row>
    <row r="1072" spans="2:65" s="2070" customFormat="1" ht="24.2" customHeight="1">
      <c r="B1072" s="2164"/>
      <c r="C1072" s="4608" t="s">
        <v>5210</v>
      </c>
      <c r="D1072" s="4608" t="s">
        <v>3286</v>
      </c>
      <c r="E1072" s="4609" t="s">
        <v>4091</v>
      </c>
      <c r="F1072" s="4610" t="s">
        <v>4092</v>
      </c>
      <c r="G1072" s="4611" t="s">
        <v>141</v>
      </c>
      <c r="H1072" s="4612">
        <v>524</v>
      </c>
      <c r="I1072" s="4613"/>
      <c r="J1072" s="4613">
        <f>ROUND(I1072*H1072,2)</f>
        <v>0</v>
      </c>
      <c r="K1072" s="4610" t="s">
        <v>142</v>
      </c>
      <c r="L1072" s="2071"/>
      <c r="M1072" s="2190" t="s">
        <v>3146</v>
      </c>
      <c r="N1072" s="2163" t="s">
        <v>3181</v>
      </c>
      <c r="O1072" s="2191">
        <v>0.16800000000000001</v>
      </c>
      <c r="P1072" s="2191">
        <f>O1072*H1072</f>
        <v>88.032000000000011</v>
      </c>
      <c r="Q1072" s="2191">
        <v>2.0000000000000001E-4</v>
      </c>
      <c r="R1072" s="2191">
        <f>Q1072*H1072</f>
        <v>0.1048</v>
      </c>
      <c r="S1072" s="2191">
        <v>0</v>
      </c>
      <c r="T1072" s="2192">
        <f>S1072*H1072</f>
        <v>0</v>
      </c>
      <c r="AR1072" s="2193" t="s">
        <v>2894</v>
      </c>
      <c r="AT1072" s="2193" t="s">
        <v>3286</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4093</v>
      </c>
    </row>
    <row r="1073" spans="2:65" s="2209" customFormat="1">
      <c r="B1073" s="2210"/>
      <c r="D1073" s="2197" t="s">
        <v>3303</v>
      </c>
      <c r="E1073" s="2211" t="s">
        <v>3146</v>
      </c>
      <c r="F1073" s="2212" t="s">
        <v>4094</v>
      </c>
      <c r="H1073" s="2213">
        <v>524</v>
      </c>
      <c r="L1073" s="2210"/>
      <c r="M1073" s="2214"/>
      <c r="T1073" s="2215"/>
      <c r="AT1073" s="2211" t="s">
        <v>3303</v>
      </c>
      <c r="AU1073" s="2211" t="s">
        <v>134</v>
      </c>
      <c r="AV1073" s="2209" t="s">
        <v>134</v>
      </c>
      <c r="AW1073" s="2209" t="s">
        <v>3171</v>
      </c>
      <c r="AX1073" s="2209" t="s">
        <v>133</v>
      </c>
      <c r="AY1073" s="2211" t="s">
        <v>3285</v>
      </c>
    </row>
    <row r="1074" spans="2:65" s="2070" customFormat="1" ht="24.2" customHeight="1">
      <c r="B1074" s="2164"/>
      <c r="C1074" s="5561" t="s">
        <v>5214</v>
      </c>
      <c r="D1074" s="4608" t="s">
        <v>3286</v>
      </c>
      <c r="E1074" s="4609" t="s">
        <v>4096</v>
      </c>
      <c r="F1074" s="4610" t="s">
        <v>4097</v>
      </c>
      <c r="G1074" s="4611" t="s">
        <v>302</v>
      </c>
      <c r="H1074" s="5568">
        <v>22.324000000000002</v>
      </c>
      <c r="I1074" s="4613"/>
      <c r="J1074" s="4613">
        <f>ROUND(I1074*H1074,2)</f>
        <v>0</v>
      </c>
      <c r="K1074" s="4610" t="s">
        <v>142</v>
      </c>
      <c r="L1074" s="2071"/>
      <c r="M1074" s="2190" t="s">
        <v>3146</v>
      </c>
      <c r="N1074" s="2163" t="s">
        <v>3181</v>
      </c>
      <c r="O1074" s="2191">
        <v>2.46</v>
      </c>
      <c r="P1074" s="2191">
        <f>O1074*H1074</f>
        <v>54.91704</v>
      </c>
      <c r="Q1074" s="2191">
        <v>0</v>
      </c>
      <c r="R1074" s="2191">
        <f>Q1074*H1074</f>
        <v>0</v>
      </c>
      <c r="S1074" s="2191">
        <v>0</v>
      </c>
      <c r="T1074" s="2192">
        <f>S1074*H1074</f>
        <v>0</v>
      </c>
      <c r="AR1074" s="2193" t="s">
        <v>2894</v>
      </c>
      <c r="AT1074" s="2193" t="s">
        <v>3286</v>
      </c>
      <c r="AU1074" s="2193" t="s">
        <v>134</v>
      </c>
      <c r="AY1074" s="2056" t="s">
        <v>3285</v>
      </c>
      <c r="BE1074" s="2194">
        <f>IF(N1074="základní",J1074,0)</f>
        <v>0</v>
      </c>
      <c r="BF1074" s="2194">
        <f>IF(N1074="snížená",J1074,0)</f>
        <v>0</v>
      </c>
      <c r="BG1074" s="2194">
        <f>IF(N1074="zákl. přenesená",J1074,0)</f>
        <v>0</v>
      </c>
      <c r="BH1074" s="2194">
        <f>IF(N1074="sníž. přenesená",J1074,0)</f>
        <v>0</v>
      </c>
      <c r="BI1074" s="2194">
        <f>IF(N1074="nulová",J1074,0)</f>
        <v>0</v>
      </c>
      <c r="BJ1074" s="2056" t="s">
        <v>134</v>
      </c>
      <c r="BK1074" s="2194">
        <f>ROUND(I1074*H1074,2)</f>
        <v>0</v>
      </c>
      <c r="BL1074" s="2056" t="s">
        <v>2894</v>
      </c>
      <c r="BM1074" s="2193" t="s">
        <v>4098</v>
      </c>
    </row>
    <row r="1075" spans="2:65" s="2070" customFormat="1" ht="24.2" customHeight="1">
      <c r="B1075" s="2164"/>
      <c r="C1075" s="5561" t="s">
        <v>5218</v>
      </c>
      <c r="D1075" s="4608" t="s">
        <v>3286</v>
      </c>
      <c r="E1075" s="4609" t="s">
        <v>4100</v>
      </c>
      <c r="F1075" s="4610" t="s">
        <v>4101</v>
      </c>
      <c r="G1075" s="4611" t="s">
        <v>302</v>
      </c>
      <c r="H1075" s="5568">
        <v>22.324000000000002</v>
      </c>
      <c r="I1075" s="4613"/>
      <c r="J1075" s="4613">
        <f>ROUND(I1075*H1075,2)</f>
        <v>0</v>
      </c>
      <c r="K1075" s="4610" t="s">
        <v>142</v>
      </c>
      <c r="L1075" s="2071"/>
      <c r="M1075" s="2190" t="s">
        <v>3146</v>
      </c>
      <c r="N1075" s="2163" t="s">
        <v>3181</v>
      </c>
      <c r="O1075" s="2191">
        <v>1.32</v>
      </c>
      <c r="P1075" s="2191">
        <f>O1075*H1075</f>
        <v>29.467680000000005</v>
      </c>
      <c r="Q1075" s="2191">
        <v>0</v>
      </c>
      <c r="R1075" s="2191">
        <f>Q1075*H1075</f>
        <v>0</v>
      </c>
      <c r="S1075" s="2191">
        <v>0</v>
      </c>
      <c r="T1075" s="2192">
        <f>S1075*H1075</f>
        <v>0</v>
      </c>
      <c r="AR1075" s="2193" t="s">
        <v>2894</v>
      </c>
      <c r="AT1075" s="2193" t="s">
        <v>3286</v>
      </c>
      <c r="AU1075" s="2193" t="s">
        <v>134</v>
      </c>
      <c r="AY1075" s="2056" t="s">
        <v>3285</v>
      </c>
      <c r="BE1075" s="2194">
        <f>IF(N1075="základní",J1075,0)</f>
        <v>0</v>
      </c>
      <c r="BF1075" s="2194">
        <f>IF(N1075="snížená",J1075,0)</f>
        <v>0</v>
      </c>
      <c r="BG1075" s="2194">
        <f>IF(N1075="zákl. přenesená",J1075,0)</f>
        <v>0</v>
      </c>
      <c r="BH1075" s="2194">
        <f>IF(N1075="sníž. přenesená",J1075,0)</f>
        <v>0</v>
      </c>
      <c r="BI1075" s="2194">
        <f>IF(N1075="nulová",J1075,0)</f>
        <v>0</v>
      </c>
      <c r="BJ1075" s="2056" t="s">
        <v>134</v>
      </c>
      <c r="BK1075" s="2194">
        <f>ROUND(I1075*H1075,2)</f>
        <v>0</v>
      </c>
      <c r="BL1075" s="2056" t="s">
        <v>2894</v>
      </c>
      <c r="BM1075" s="2193" t="s">
        <v>4102</v>
      </c>
    </row>
    <row r="1076" spans="2:65" s="2178" customFormat="1" ht="22.9" customHeight="1">
      <c r="B1076" s="2179"/>
      <c r="D1076" s="2180" t="s">
        <v>3212</v>
      </c>
      <c r="E1076" s="2188" t="s">
        <v>4103</v>
      </c>
      <c r="F1076" s="2188" t="s">
        <v>2822</v>
      </c>
      <c r="J1076" s="2189">
        <f>BK1076</f>
        <v>0</v>
      </c>
      <c r="L1076" s="2179"/>
      <c r="M1076" s="2183"/>
      <c r="P1076" s="2184">
        <f>P1077</f>
        <v>0</v>
      </c>
      <c r="R1076" s="2184">
        <f>R1077</f>
        <v>0</v>
      </c>
      <c r="T1076" s="2185">
        <f>T1077</f>
        <v>0</v>
      </c>
      <c r="AR1076" s="2180" t="s">
        <v>134</v>
      </c>
      <c r="AT1076" s="2186" t="s">
        <v>3212</v>
      </c>
      <c r="AU1076" s="2186" t="s">
        <v>133</v>
      </c>
      <c r="AY1076" s="2180" t="s">
        <v>3285</v>
      </c>
      <c r="BK1076" s="2187">
        <f>BK1077</f>
        <v>0</v>
      </c>
    </row>
    <row r="1077" spans="2:65" s="2070" customFormat="1" ht="16.5" customHeight="1">
      <c r="B1077" s="2164"/>
      <c r="C1077" s="4608" t="s">
        <v>5222</v>
      </c>
      <c r="D1077" s="4608" t="s">
        <v>3286</v>
      </c>
      <c r="E1077" s="4609" t="s">
        <v>4106</v>
      </c>
      <c r="F1077" s="4610" t="s">
        <v>4107</v>
      </c>
      <c r="G1077" s="4611" t="s">
        <v>23</v>
      </c>
      <c r="H1077" s="4612">
        <v>1</v>
      </c>
      <c r="I1077" s="4613"/>
      <c r="J1077" s="4613">
        <f>ROUND(I1077*H1077,2)</f>
        <v>0</v>
      </c>
      <c r="K1077" s="4610" t="s">
        <v>3146</v>
      </c>
      <c r="L1077" s="2071"/>
      <c r="M1077" s="2190" t="s">
        <v>3146</v>
      </c>
      <c r="N1077" s="2163" t="s">
        <v>3181</v>
      </c>
      <c r="O1077" s="2191">
        <v>0</v>
      </c>
      <c r="P1077" s="2191">
        <f>O1077*H1077</f>
        <v>0</v>
      </c>
      <c r="Q1077" s="2191">
        <v>0</v>
      </c>
      <c r="R1077" s="2191">
        <f>Q1077*H1077</f>
        <v>0</v>
      </c>
      <c r="S1077" s="2191">
        <v>0</v>
      </c>
      <c r="T1077" s="2192">
        <f>S1077*H1077</f>
        <v>0</v>
      </c>
      <c r="AR1077" s="2193" t="s">
        <v>2894</v>
      </c>
      <c r="AT1077" s="2193" t="s">
        <v>3286</v>
      </c>
      <c r="AU1077" s="2193" t="s">
        <v>134</v>
      </c>
      <c r="AY1077" s="2056" t="s">
        <v>3285</v>
      </c>
      <c r="BE1077" s="2194">
        <f>IF(N1077="základní",J1077,0)</f>
        <v>0</v>
      </c>
      <c r="BF1077" s="2194">
        <f>IF(N1077="snížená",J1077,0)</f>
        <v>0</v>
      </c>
      <c r="BG1077" s="2194">
        <f>IF(N1077="zákl. přenesená",J1077,0)</f>
        <v>0</v>
      </c>
      <c r="BH1077" s="2194">
        <f>IF(N1077="sníž. přenesená",J1077,0)</f>
        <v>0</v>
      </c>
      <c r="BI1077" s="2194">
        <f>IF(N1077="nulová",J1077,0)</f>
        <v>0</v>
      </c>
      <c r="BJ1077" s="2056" t="s">
        <v>134</v>
      </c>
      <c r="BK1077" s="2194">
        <f>ROUND(I1077*H1077,2)</f>
        <v>0</v>
      </c>
      <c r="BL1077" s="2056" t="s">
        <v>2894</v>
      </c>
      <c r="BM1077" s="2193" t="s">
        <v>4108</v>
      </c>
    </row>
    <row r="1078" spans="2:65" s="2178" customFormat="1" ht="22.9" customHeight="1">
      <c r="B1078" s="2179"/>
      <c r="D1078" s="2180" t="s">
        <v>3212</v>
      </c>
      <c r="E1078" s="2188">
        <v>767</v>
      </c>
      <c r="F1078" s="2188" t="s">
        <v>4104</v>
      </c>
      <c r="J1078" s="2189">
        <f>BK1078</f>
        <v>0</v>
      </c>
      <c r="L1078" s="2179"/>
      <c r="M1078" s="2183"/>
      <c r="P1078" s="2184">
        <f>P1079</f>
        <v>0</v>
      </c>
      <c r="R1078" s="2184">
        <f>R1079</f>
        <v>0</v>
      </c>
      <c r="T1078" s="2185">
        <f>T1079</f>
        <v>0</v>
      </c>
      <c r="AR1078" s="2180" t="s">
        <v>134</v>
      </c>
      <c r="AT1078" s="2186" t="s">
        <v>3212</v>
      </c>
      <c r="AU1078" s="2186" t="s">
        <v>133</v>
      </c>
      <c r="AY1078" s="2180" t="s">
        <v>3285</v>
      </c>
      <c r="BK1078" s="2187">
        <f>BK1079</f>
        <v>0</v>
      </c>
    </row>
    <row r="1079" spans="2:65" s="2070" customFormat="1" ht="18.75" customHeight="1">
      <c r="B1079" s="2164"/>
      <c r="C1079" s="5561" t="s">
        <v>11726</v>
      </c>
      <c r="D1079" s="5561" t="s">
        <v>3286</v>
      </c>
      <c r="E1079" s="5567" t="s">
        <v>4106</v>
      </c>
      <c r="F1079" s="5566" t="s">
        <v>11725</v>
      </c>
      <c r="G1079" s="5570" t="s">
        <v>611</v>
      </c>
      <c r="H1079" s="5568">
        <f>H1083</f>
        <v>42.742999999999995</v>
      </c>
      <c r="I1079" s="5571"/>
      <c r="J1079" s="5571">
        <f>ROUND(I1079*H1079,2)</f>
        <v>0</v>
      </c>
      <c r="K1079" s="5566" t="s">
        <v>3146</v>
      </c>
      <c r="L1079" s="2071"/>
      <c r="M1079" s="2190" t="s">
        <v>3146</v>
      </c>
      <c r="N1079" s="2163" t="s">
        <v>3181</v>
      </c>
      <c r="O1079" s="2191">
        <v>0</v>
      </c>
      <c r="P1079" s="2191">
        <f>O1079*H1079</f>
        <v>0</v>
      </c>
      <c r="Q1079" s="2191">
        <v>0</v>
      </c>
      <c r="R1079" s="2191">
        <f>Q1079*H1079</f>
        <v>0</v>
      </c>
      <c r="S1079" s="2191">
        <v>0</v>
      </c>
      <c r="T1079" s="2192">
        <f>S1079*H1079</f>
        <v>0</v>
      </c>
      <c r="AR1079" s="2193" t="s">
        <v>2894</v>
      </c>
      <c r="AT1079" s="2193" t="s">
        <v>3286</v>
      </c>
      <c r="AU1079" s="2193" t="s">
        <v>134</v>
      </c>
      <c r="AY1079" s="2056" t="s">
        <v>3285</v>
      </c>
      <c r="BE1079" s="2194">
        <f>IF(N1079="základní",J1079,0)</f>
        <v>0</v>
      </c>
      <c r="BF1079" s="2194">
        <f>IF(N1079="snížená",J1079,0)</f>
        <v>0</v>
      </c>
      <c r="BG1079" s="2194">
        <f>IF(N1079="zákl. přenesená",J1079,0)</f>
        <v>0</v>
      </c>
      <c r="BH1079" s="2194">
        <f>IF(N1079="sníž. přenesená",J1079,0)</f>
        <v>0</v>
      </c>
      <c r="BI1079" s="2194">
        <f>IF(N1079="nulová",J1079,0)</f>
        <v>0</v>
      </c>
      <c r="BJ1079" s="2056" t="s">
        <v>134</v>
      </c>
      <c r="BK1079" s="2194">
        <f>ROUND(I1079*H1079,2)</f>
        <v>0</v>
      </c>
      <c r="BL1079" s="2056" t="s">
        <v>2894</v>
      </c>
      <c r="BM1079" s="2193" t="s">
        <v>4108</v>
      </c>
    </row>
    <row r="1080" spans="2:65" s="2209" customFormat="1">
      <c r="B1080" s="2210"/>
      <c r="D1080" s="2197" t="s">
        <v>3303</v>
      </c>
      <c r="E1080" s="2211" t="s">
        <v>3146</v>
      </c>
      <c r="F1080" s="2212" t="s">
        <v>4209</v>
      </c>
      <c r="H1080" s="2213">
        <v>18.329999999999998</v>
      </c>
      <c r="L1080" s="2210"/>
      <c r="M1080" s="2214"/>
      <c r="T1080" s="2215"/>
      <c r="AT1080" s="2211" t="s">
        <v>3303</v>
      </c>
      <c r="AU1080" s="2211" t="s">
        <v>134</v>
      </c>
      <c r="AV1080" s="2209" t="s">
        <v>134</v>
      </c>
      <c r="AW1080" s="2209" t="s">
        <v>3171</v>
      </c>
      <c r="AX1080" s="2209" t="s">
        <v>3213</v>
      </c>
      <c r="AY1080" s="2211" t="s">
        <v>3285</v>
      </c>
    </row>
    <row r="1081" spans="2:65" s="2209" customFormat="1">
      <c r="B1081" s="2210"/>
      <c r="D1081" s="2197" t="s">
        <v>3303</v>
      </c>
      <c r="E1081" s="2211" t="s">
        <v>3146</v>
      </c>
      <c r="F1081" s="2212" t="s">
        <v>4210</v>
      </c>
      <c r="H1081" s="2213">
        <v>12.09</v>
      </c>
      <c r="L1081" s="2210"/>
      <c r="M1081" s="2214"/>
      <c r="T1081" s="2215"/>
      <c r="AT1081" s="2211" t="s">
        <v>3303</v>
      </c>
      <c r="AU1081" s="2211" t="s">
        <v>134</v>
      </c>
      <c r="AV1081" s="2209" t="s">
        <v>134</v>
      </c>
      <c r="AW1081" s="2209" t="s">
        <v>3171</v>
      </c>
      <c r="AX1081" s="2209" t="s">
        <v>3213</v>
      </c>
      <c r="AY1081" s="2211" t="s">
        <v>3285</v>
      </c>
    </row>
    <row r="1082" spans="2:65" s="2209" customFormat="1">
      <c r="B1082" s="2210"/>
      <c r="D1082" s="2197" t="s">
        <v>3303</v>
      </c>
      <c r="E1082" s="2211" t="s">
        <v>3146</v>
      </c>
      <c r="F1082" s="2212" t="s">
        <v>4211</v>
      </c>
      <c r="H1082" s="2213">
        <v>12.323</v>
      </c>
      <c r="L1082" s="2210"/>
      <c r="M1082" s="2214"/>
      <c r="T1082" s="2215"/>
      <c r="AT1082" s="2211" t="s">
        <v>3303</v>
      </c>
      <c r="AU1082" s="2211" t="s">
        <v>134</v>
      </c>
      <c r="AV1082" s="2209" t="s">
        <v>134</v>
      </c>
      <c r="AW1082" s="2209" t="s">
        <v>3171</v>
      </c>
      <c r="AX1082" s="2209" t="s">
        <v>3213</v>
      </c>
      <c r="AY1082" s="2211" t="s">
        <v>3285</v>
      </c>
    </row>
    <row r="1083" spans="2:65" s="2216" customFormat="1">
      <c r="B1083" s="2217"/>
      <c r="D1083" s="2197" t="s">
        <v>3303</v>
      </c>
      <c r="E1083" s="2218" t="s">
        <v>3146</v>
      </c>
      <c r="F1083" s="2219" t="s">
        <v>3306</v>
      </c>
      <c r="H1083" s="2220">
        <f>SUM(H1080:H1082)</f>
        <v>42.742999999999995</v>
      </c>
      <c r="L1083" s="2217"/>
      <c r="M1083" s="2221"/>
      <c r="T1083" s="2222"/>
      <c r="AT1083" s="2218" t="s">
        <v>3303</v>
      </c>
      <c r="AU1083" s="2218" t="s">
        <v>134</v>
      </c>
      <c r="AV1083" s="2216" t="s">
        <v>856</v>
      </c>
      <c r="AW1083" s="2216" t="s">
        <v>3171</v>
      </c>
      <c r="AX1083" s="2216" t="s">
        <v>133</v>
      </c>
      <c r="AY1083" s="2218" t="s">
        <v>3285</v>
      </c>
    </row>
    <row r="1084" spans="2:65" s="2178" customFormat="1" ht="22.9" customHeight="1">
      <c r="B1084" s="2179"/>
      <c r="D1084" s="2180" t="s">
        <v>3212</v>
      </c>
      <c r="E1084" s="2188" t="s">
        <v>4109</v>
      </c>
      <c r="F1084" s="2188" t="s">
        <v>4110</v>
      </c>
      <c r="J1084" s="2189">
        <f>BK1084</f>
        <v>0</v>
      </c>
      <c r="L1084" s="2179"/>
      <c r="M1084" s="2183"/>
      <c r="P1084" s="2184">
        <f>SUM(P1088:P1097)</f>
        <v>2859.3664589999994</v>
      </c>
      <c r="R1084" s="2184">
        <f>SUM(R1088:R1097)</f>
        <v>73.067571120000011</v>
      </c>
      <c r="T1084" s="2185">
        <f>SUM(T1088:T1097)</f>
        <v>0</v>
      </c>
      <c r="AR1084" s="2180" t="s">
        <v>134</v>
      </c>
      <c r="AT1084" s="2186" t="s">
        <v>3212</v>
      </c>
      <c r="AU1084" s="2186" t="s">
        <v>133</v>
      </c>
      <c r="AY1084" s="2180" t="s">
        <v>3285</v>
      </c>
      <c r="BK1084" s="2187">
        <f>SUM(BK1088:BK1094)</f>
        <v>0</v>
      </c>
    </row>
    <row r="1085" spans="2:65" s="2070" customFormat="1" ht="24.2" customHeight="1">
      <c r="B1085" s="2164"/>
      <c r="C1085" s="5561" t="s">
        <v>5226</v>
      </c>
      <c r="D1085" s="4608" t="s">
        <v>3286</v>
      </c>
      <c r="E1085" s="4609" t="s">
        <v>4112</v>
      </c>
      <c r="F1085" s="4610" t="s">
        <v>4113</v>
      </c>
      <c r="G1085" s="4611" t="s">
        <v>611</v>
      </c>
      <c r="H1085" s="4612">
        <v>58</v>
      </c>
      <c r="I1085" s="5874" t="s">
        <v>11555</v>
      </c>
      <c r="J1085" s="5875"/>
      <c r="K1085" s="4610" t="s">
        <v>142</v>
      </c>
      <c r="L1085" s="2071"/>
      <c r="M1085" s="2190" t="s">
        <v>3146</v>
      </c>
      <c r="N1085" s="2163" t="s">
        <v>3181</v>
      </c>
      <c r="O1085" s="2191">
        <v>0.41699999999999998</v>
      </c>
      <c r="P1085" s="2191">
        <f>O1085*H1085</f>
        <v>24.186</v>
      </c>
      <c r="Q1085" s="2191">
        <v>5.0000000000000001E-4</v>
      </c>
      <c r="R1085" s="2191">
        <f>Q1085*H1085</f>
        <v>2.9000000000000001E-2</v>
      </c>
      <c r="S1085" s="2191">
        <v>0</v>
      </c>
      <c r="T1085" s="2192">
        <f>S1085*H1085</f>
        <v>0</v>
      </c>
      <c r="AR1085" s="2193" t="s">
        <v>2894</v>
      </c>
      <c r="AT1085" s="2193" t="s">
        <v>3286</v>
      </c>
      <c r="AU1085" s="2193" t="s">
        <v>134</v>
      </c>
      <c r="AY1085" s="2056" t="s">
        <v>3285</v>
      </c>
      <c r="BE1085" s="2194">
        <f>IF(N1085="základní",J1085,0)</f>
        <v>0</v>
      </c>
      <c r="BF1085" s="2194">
        <f>IF(N1085="snížená",J1085,0)</f>
        <v>0</v>
      </c>
      <c r="BG1085" s="2194">
        <f>IF(N1085="zákl. přenesená",J1085,0)</f>
        <v>0</v>
      </c>
      <c r="BH1085" s="2194">
        <f>IF(N1085="sníž. přenesená",J1085,0)</f>
        <v>0</v>
      </c>
      <c r="BI1085" s="2194">
        <f>IF(N1085="nulová",J1085,0)</f>
        <v>0</v>
      </c>
      <c r="BJ1085" s="2056" t="s">
        <v>134</v>
      </c>
      <c r="BK1085" s="2194">
        <v>0</v>
      </c>
      <c r="BL1085" s="2056" t="s">
        <v>2894</v>
      </c>
      <c r="BM1085" s="2193" t="s">
        <v>4114</v>
      </c>
    </row>
    <row r="1086" spans="2:65" s="2195" customFormat="1">
      <c r="B1086" s="2196"/>
      <c r="D1086" s="2197" t="s">
        <v>3303</v>
      </c>
      <c r="E1086" s="2198" t="s">
        <v>3146</v>
      </c>
      <c r="F1086" s="2199" t="s">
        <v>3578</v>
      </c>
      <c r="H1086" s="2198" t="s">
        <v>3146</v>
      </c>
      <c r="L1086" s="2196"/>
      <c r="M1086" s="2200"/>
      <c r="T1086" s="2201"/>
      <c r="AT1086" s="2198" t="s">
        <v>3303</v>
      </c>
      <c r="AU1086" s="2198" t="s">
        <v>134</v>
      </c>
      <c r="AV1086" s="2195" t="s">
        <v>133</v>
      </c>
      <c r="AW1086" s="2195" t="s">
        <v>3171</v>
      </c>
      <c r="AX1086" s="2195" t="s">
        <v>3213</v>
      </c>
      <c r="AY1086" s="2198" t="s">
        <v>3285</v>
      </c>
    </row>
    <row r="1087" spans="2:65" s="2209" customFormat="1">
      <c r="B1087" s="2210"/>
      <c r="D1087" s="2197" t="s">
        <v>3303</v>
      </c>
      <c r="E1087" s="2211" t="s">
        <v>3146</v>
      </c>
      <c r="F1087" s="2212" t="s">
        <v>2366</v>
      </c>
      <c r="H1087" s="2213">
        <v>29</v>
      </c>
      <c r="L1087" s="2210"/>
      <c r="M1087" s="2214"/>
      <c r="T1087" s="2215"/>
      <c r="AT1087" s="2211" t="s">
        <v>3303</v>
      </c>
      <c r="AU1087" s="2211" t="s">
        <v>134</v>
      </c>
      <c r="AV1087" s="2209" t="s">
        <v>134</v>
      </c>
      <c r="AW1087" s="2209" t="s">
        <v>3171</v>
      </c>
      <c r="AX1087" s="2209" t="s">
        <v>3213</v>
      </c>
      <c r="AY1087" s="2211" t="s">
        <v>3285</v>
      </c>
    </row>
    <row r="1088" spans="2:65" s="2195" customFormat="1">
      <c r="B1088" s="2196"/>
      <c r="D1088" s="2197" t="s">
        <v>3303</v>
      </c>
      <c r="E1088" s="2198" t="s">
        <v>3146</v>
      </c>
      <c r="F1088" s="2199" t="s">
        <v>3580</v>
      </c>
      <c r="H1088" s="2198" t="s">
        <v>3146</v>
      </c>
      <c r="L1088" s="2196"/>
      <c r="M1088" s="2200"/>
      <c r="T1088" s="2201"/>
      <c r="AT1088" s="2198" t="s">
        <v>3303</v>
      </c>
      <c r="AU1088" s="2198" t="s">
        <v>134</v>
      </c>
      <c r="AV1088" s="2195" t="s">
        <v>133</v>
      </c>
      <c r="AW1088" s="2195" t="s">
        <v>3171</v>
      </c>
      <c r="AX1088" s="2195" t="s">
        <v>3213</v>
      </c>
      <c r="AY1088" s="2198" t="s">
        <v>3285</v>
      </c>
    </row>
    <row r="1089" spans="2:65" s="2209" customFormat="1">
      <c r="B1089" s="2210"/>
      <c r="D1089" s="2197" t="s">
        <v>3303</v>
      </c>
      <c r="E1089" s="2211" t="s">
        <v>3146</v>
      </c>
      <c r="F1089" s="2212" t="s">
        <v>2366</v>
      </c>
      <c r="H1089" s="2213">
        <v>29</v>
      </c>
      <c r="L1089" s="2210"/>
      <c r="M1089" s="2214"/>
      <c r="T1089" s="2215"/>
      <c r="AT1089" s="2211" t="s">
        <v>3303</v>
      </c>
      <c r="AU1089" s="2211" t="s">
        <v>134</v>
      </c>
      <c r="AV1089" s="2209" t="s">
        <v>134</v>
      </c>
      <c r="AW1089" s="2209" t="s">
        <v>3171</v>
      </c>
      <c r="AX1089" s="2209" t="s">
        <v>3213</v>
      </c>
      <c r="AY1089" s="2211" t="s">
        <v>3285</v>
      </c>
    </row>
    <row r="1090" spans="2:65" s="2216" customFormat="1">
      <c r="B1090" s="2217"/>
      <c r="D1090" s="2197" t="s">
        <v>3303</v>
      </c>
      <c r="E1090" s="2218" t="s">
        <v>3146</v>
      </c>
      <c r="F1090" s="2219" t="s">
        <v>3306</v>
      </c>
      <c r="H1090" s="2220">
        <v>58</v>
      </c>
      <c r="L1090" s="2217"/>
      <c r="M1090" s="2221"/>
      <c r="T1090" s="2222"/>
      <c r="AT1090" s="2218" t="s">
        <v>3303</v>
      </c>
      <c r="AU1090" s="2218" t="s">
        <v>134</v>
      </c>
      <c r="AV1090" s="2216" t="s">
        <v>856</v>
      </c>
      <c r="AW1090" s="2216" t="s">
        <v>3171</v>
      </c>
      <c r="AX1090" s="2216" t="s">
        <v>133</v>
      </c>
      <c r="AY1090" s="2218" t="s">
        <v>3285</v>
      </c>
    </row>
    <row r="1091" spans="2:65" s="2070" customFormat="1" ht="16.5" customHeight="1">
      <c r="B1091" s="2164"/>
      <c r="C1091" s="5609" t="s">
        <v>5230</v>
      </c>
      <c r="D1091" s="4614" t="s">
        <v>135</v>
      </c>
      <c r="E1091" s="4615" t="s">
        <v>4121</v>
      </c>
      <c r="F1091" s="4616" t="s">
        <v>4122</v>
      </c>
      <c r="G1091" s="4617" t="s">
        <v>611</v>
      </c>
      <c r="H1091" s="4618">
        <v>63.8</v>
      </c>
      <c r="I1091" s="5874" t="s">
        <v>11555</v>
      </c>
      <c r="J1091" s="5875"/>
      <c r="K1091" s="4616" t="s">
        <v>3146</v>
      </c>
      <c r="L1091" s="2223"/>
      <c r="M1091" s="2224" t="s">
        <v>3146</v>
      </c>
      <c r="N1091" s="2225" t="s">
        <v>3181</v>
      </c>
      <c r="O1091" s="2191">
        <v>0</v>
      </c>
      <c r="P1091" s="2191">
        <f>O1091*H1091</f>
        <v>0</v>
      </c>
      <c r="Q1091" s="2191">
        <v>2.5999999999999999E-3</v>
      </c>
      <c r="R1091" s="2191">
        <f>Q1091*H1091</f>
        <v>0.16587999999999997</v>
      </c>
      <c r="S1091" s="2191">
        <v>0</v>
      </c>
      <c r="T1091" s="2192">
        <f>S1091*H1091</f>
        <v>0</v>
      </c>
      <c r="AR1091" s="2193" t="s">
        <v>3389</v>
      </c>
      <c r="AT1091" s="2193" t="s">
        <v>135</v>
      </c>
      <c r="AU1091" s="2193" t="s">
        <v>134</v>
      </c>
      <c r="AY1091" s="2056" t="s">
        <v>3285</v>
      </c>
      <c r="BE1091" s="2194">
        <f>IF(N1091="základní",J1091,0)</f>
        <v>0</v>
      </c>
      <c r="BF1091" s="2194">
        <f>IF(N1091="snížená",J1091,0)</f>
        <v>0</v>
      </c>
      <c r="BG1091" s="2194">
        <f>IF(N1091="zákl. přenesená",J1091,0)</f>
        <v>0</v>
      </c>
      <c r="BH1091" s="2194">
        <f>IF(N1091="sníž. přenesená",J1091,0)</f>
        <v>0</v>
      </c>
      <c r="BI1091" s="2194">
        <f>IF(N1091="nulová",J1091,0)</f>
        <v>0</v>
      </c>
      <c r="BJ1091" s="2056" t="s">
        <v>134</v>
      </c>
      <c r="BK1091" s="2194">
        <v>0</v>
      </c>
      <c r="BL1091" s="2056" t="s">
        <v>2894</v>
      </c>
      <c r="BM1091" s="2193" t="s">
        <v>4123</v>
      </c>
    </row>
    <row r="1092" spans="2:65" s="2209" customFormat="1">
      <c r="B1092" s="2210"/>
      <c r="D1092" s="2197" t="s">
        <v>3303</v>
      </c>
      <c r="F1092" s="2212" t="s">
        <v>4124</v>
      </c>
      <c r="H1092" s="2213">
        <v>63.8</v>
      </c>
      <c r="L1092" s="2210"/>
      <c r="M1092" s="2214"/>
      <c r="T1092" s="2215"/>
      <c r="AT1092" s="2211" t="s">
        <v>3303</v>
      </c>
      <c r="AU1092" s="2211" t="s">
        <v>134</v>
      </c>
      <c r="AV1092" s="2209" t="s">
        <v>134</v>
      </c>
      <c r="AW1092" s="2209" t="s">
        <v>3148</v>
      </c>
      <c r="AX1092" s="2209" t="s">
        <v>133</v>
      </c>
      <c r="AY1092" s="2211" t="s">
        <v>3285</v>
      </c>
    </row>
    <row r="1093" spans="2:65" s="2070" customFormat="1" ht="24.2" customHeight="1">
      <c r="B1093" s="2164"/>
      <c r="C1093" s="5561" t="s">
        <v>5234</v>
      </c>
      <c r="D1093" s="4608" t="s">
        <v>3286</v>
      </c>
      <c r="E1093" s="4609" t="s">
        <v>4507</v>
      </c>
      <c r="F1093" s="4610" t="s">
        <v>4508</v>
      </c>
      <c r="G1093" s="4611" t="s">
        <v>302</v>
      </c>
      <c r="H1093" s="4612">
        <v>0.19500000000000001</v>
      </c>
      <c r="I1093" s="5874" t="s">
        <v>11555</v>
      </c>
      <c r="J1093" s="5875"/>
      <c r="K1093" s="4610" t="s">
        <v>142</v>
      </c>
      <c r="L1093" s="2071"/>
      <c r="M1093" s="2190" t="s">
        <v>3146</v>
      </c>
      <c r="N1093" s="2163" t="s">
        <v>3181</v>
      </c>
      <c r="O1093" s="2191">
        <v>1.1140000000000001</v>
      </c>
      <c r="P1093" s="2191">
        <f>O1093*H1093</f>
        <v>0.21723000000000003</v>
      </c>
      <c r="Q1093" s="2191">
        <v>0</v>
      </c>
      <c r="R1093" s="2191">
        <f>Q1093*H1093</f>
        <v>0</v>
      </c>
      <c r="S1093" s="2191">
        <v>0</v>
      </c>
      <c r="T1093" s="2192">
        <f>S1093*H1093</f>
        <v>0</v>
      </c>
      <c r="AR1093" s="2193" t="s">
        <v>2894</v>
      </c>
      <c r="AT1093" s="2193" t="s">
        <v>3286</v>
      </c>
      <c r="AU1093" s="2193" t="s">
        <v>134</v>
      </c>
      <c r="AY1093" s="2056" t="s">
        <v>3285</v>
      </c>
      <c r="BE1093" s="2194">
        <f>IF(N1093="základní",J1093,0)</f>
        <v>0</v>
      </c>
      <c r="BF1093" s="2194">
        <f>IF(N1093="snížená",J1093,0)</f>
        <v>0</v>
      </c>
      <c r="BG1093" s="2194">
        <f>IF(N1093="zákl. přenesená",J1093,0)</f>
        <v>0</v>
      </c>
      <c r="BH1093" s="2194">
        <f>IF(N1093="sníž. přenesená",J1093,0)</f>
        <v>0</v>
      </c>
      <c r="BI1093" s="2194">
        <f>IF(N1093="nulová",J1093,0)</f>
        <v>0</v>
      </c>
      <c r="BJ1093" s="2056" t="s">
        <v>134</v>
      </c>
      <c r="BK1093" s="2194">
        <v>0</v>
      </c>
      <c r="BL1093" s="2056" t="s">
        <v>2894</v>
      </c>
      <c r="BM1093" s="2193" t="s">
        <v>10986</v>
      </c>
    </row>
    <row r="1094" spans="2:65" s="2070" customFormat="1" ht="24.2" customHeight="1">
      <c r="B1094" s="2164"/>
      <c r="C1094" s="5561" t="s">
        <v>5194</v>
      </c>
      <c r="D1094" s="4608" t="s">
        <v>3286</v>
      </c>
      <c r="E1094" s="4609" t="s">
        <v>4510</v>
      </c>
      <c r="F1094" s="4610" t="s">
        <v>4511</v>
      </c>
      <c r="G1094" s="4611" t="s">
        <v>302</v>
      </c>
      <c r="H1094" s="4612">
        <v>0.19500000000000001</v>
      </c>
      <c r="I1094" s="5874" t="s">
        <v>11555</v>
      </c>
      <c r="J1094" s="5875"/>
      <c r="K1094" s="4610" t="s">
        <v>142</v>
      </c>
      <c r="L1094" s="2071"/>
      <c r="M1094" s="2190" t="s">
        <v>3146</v>
      </c>
      <c r="N1094" s="2163" t="s">
        <v>3181</v>
      </c>
      <c r="O1094" s="2191">
        <v>1</v>
      </c>
      <c r="P1094" s="2191">
        <f>O1094*H1094</f>
        <v>0.19500000000000001</v>
      </c>
      <c r="Q1094" s="2191">
        <v>0</v>
      </c>
      <c r="R1094" s="2191">
        <f>Q1094*H1094</f>
        <v>0</v>
      </c>
      <c r="S1094" s="2191">
        <v>0</v>
      </c>
      <c r="T1094" s="2192">
        <f>S1094*H1094</f>
        <v>0</v>
      </c>
      <c r="AR1094" s="2193" t="s">
        <v>2894</v>
      </c>
      <c r="AT1094" s="2193" t="s">
        <v>3286</v>
      </c>
      <c r="AU1094" s="2193" t="s">
        <v>134</v>
      </c>
      <c r="AY1094" s="2056" t="s">
        <v>3285</v>
      </c>
      <c r="BE1094" s="2194">
        <f>IF(N1094="základní",J1094,0)</f>
        <v>0</v>
      </c>
      <c r="BF1094" s="2194">
        <f>IF(N1094="snížená",J1094,0)</f>
        <v>0</v>
      </c>
      <c r="BG1094" s="2194">
        <f>IF(N1094="zákl. přenesená",J1094,0)</f>
        <v>0</v>
      </c>
      <c r="BH1094" s="2194">
        <f>IF(N1094="sníž. přenesená",J1094,0)</f>
        <v>0</v>
      </c>
      <c r="BI1094" s="2194">
        <f>IF(N1094="nulová",J1094,0)</f>
        <v>0</v>
      </c>
      <c r="BJ1094" s="2056" t="s">
        <v>134</v>
      </c>
      <c r="BK1094" s="2194">
        <v>0</v>
      </c>
      <c r="BL1094" s="2056" t="s">
        <v>2894</v>
      </c>
      <c r="BM1094" s="2193" t="s">
        <v>10987</v>
      </c>
    </row>
    <row r="1095" spans="2:65" s="2178" customFormat="1" ht="22.9" customHeight="1">
      <c r="B1095" s="2179"/>
      <c r="D1095" s="2180" t="s">
        <v>3212</v>
      </c>
      <c r="E1095" s="2188" t="s">
        <v>4125</v>
      </c>
      <c r="F1095" s="2188" t="s">
        <v>4126</v>
      </c>
      <c r="J1095" s="2189">
        <f>BK1095</f>
        <v>0</v>
      </c>
      <c r="L1095" s="2179"/>
      <c r="M1095" s="2183"/>
      <c r="P1095" s="2184">
        <f>SUM(P1096:P1123)</f>
        <v>2756.3359649999998</v>
      </c>
      <c r="R1095" s="2184">
        <f>SUM(R1096:R1123)</f>
        <v>72.351950420000009</v>
      </c>
      <c r="T1095" s="2185">
        <f>SUM(T1096:T1123)</f>
        <v>0</v>
      </c>
      <c r="AR1095" s="2180" t="s">
        <v>134</v>
      </c>
      <c r="AT1095" s="2186" t="s">
        <v>3212</v>
      </c>
      <c r="AU1095" s="2186" t="s">
        <v>133</v>
      </c>
      <c r="AY1095" s="2180" t="s">
        <v>3285</v>
      </c>
      <c r="BK1095" s="2187">
        <f>SUM(BK1096:BK1123)</f>
        <v>0</v>
      </c>
    </row>
    <row r="1096" spans="2:65" s="2070" customFormat="1" ht="16.5" customHeight="1">
      <c r="B1096" s="2164"/>
      <c r="C1096" s="5561" t="s">
        <v>4587</v>
      </c>
      <c r="D1096" s="4608" t="s">
        <v>3286</v>
      </c>
      <c r="E1096" s="4609" t="s">
        <v>4128</v>
      </c>
      <c r="F1096" s="4610" t="s">
        <v>4129</v>
      </c>
      <c r="G1096" s="4611" t="s">
        <v>611</v>
      </c>
      <c r="H1096" s="5568">
        <f>H1097</f>
        <v>1832.4690000000001</v>
      </c>
      <c r="I1096" s="4613"/>
      <c r="J1096" s="4613">
        <f>ROUND(I1096*H1096,2)</f>
        <v>0</v>
      </c>
      <c r="K1096" s="4610" t="s">
        <v>142</v>
      </c>
      <c r="L1096" s="2071"/>
      <c r="M1096" s="2190" t="s">
        <v>3146</v>
      </c>
      <c r="N1096" s="2163" t="s">
        <v>3181</v>
      </c>
      <c r="O1096" s="2191">
        <v>1.2E-2</v>
      </c>
      <c r="P1096" s="2191">
        <f>O1096*H1096</f>
        <v>21.989628</v>
      </c>
      <c r="Q1096" s="2191">
        <v>0</v>
      </c>
      <c r="R1096" s="2191">
        <f>Q1096*H1096</f>
        <v>0</v>
      </c>
      <c r="S1096" s="2191">
        <v>0</v>
      </c>
      <c r="T1096" s="2192">
        <f>S1096*H1096</f>
        <v>0</v>
      </c>
      <c r="AR1096" s="2193" t="s">
        <v>2894</v>
      </c>
      <c r="AT1096" s="2193" t="s">
        <v>3286</v>
      </c>
      <c r="AU1096" s="2193" t="s">
        <v>134</v>
      </c>
      <c r="AY1096" s="2056" t="s">
        <v>3285</v>
      </c>
      <c r="BE1096" s="2194">
        <f>IF(N1096="základní",J1096,0)</f>
        <v>0</v>
      </c>
      <c r="BF1096" s="2194">
        <f>IF(N1096="snížená",J1096,0)</f>
        <v>0</v>
      </c>
      <c r="BG1096" s="2194">
        <f>IF(N1096="zákl. přenesená",J1096,0)</f>
        <v>0</v>
      </c>
      <c r="BH1096" s="2194">
        <f>IF(N1096="sníž. přenesená",J1096,0)</f>
        <v>0</v>
      </c>
      <c r="BI1096" s="2194">
        <f>IF(N1096="nulová",J1096,0)</f>
        <v>0</v>
      </c>
      <c r="BJ1096" s="2056" t="s">
        <v>134</v>
      </c>
      <c r="BK1096" s="2194">
        <f>ROUND(I1096*H1096,2)</f>
        <v>0</v>
      </c>
      <c r="BL1096" s="2056" t="s">
        <v>2894</v>
      </c>
      <c r="BM1096" s="2193" t="s">
        <v>4130</v>
      </c>
    </row>
    <row r="1097" spans="2:65" s="2070" customFormat="1" ht="16.5" customHeight="1">
      <c r="B1097" s="2164"/>
      <c r="C1097" s="5561" t="s">
        <v>4591</v>
      </c>
      <c r="D1097" s="4608" t="s">
        <v>3286</v>
      </c>
      <c r="E1097" s="4609" t="s">
        <v>4132</v>
      </c>
      <c r="F1097" s="4610" t="s">
        <v>4133</v>
      </c>
      <c r="G1097" s="4611" t="s">
        <v>611</v>
      </c>
      <c r="H1097" s="5568">
        <f>H1106</f>
        <v>1832.4690000000001</v>
      </c>
      <c r="I1097" s="4613"/>
      <c r="J1097" s="4613">
        <f>ROUND(I1097*H1097,2)</f>
        <v>0</v>
      </c>
      <c r="K1097" s="4610" t="s">
        <v>142</v>
      </c>
      <c r="L1097" s="2071"/>
      <c r="M1097" s="2190" t="s">
        <v>3146</v>
      </c>
      <c r="N1097" s="2163" t="s">
        <v>3181</v>
      </c>
      <c r="O1097" s="2191">
        <v>4.3999999999999997E-2</v>
      </c>
      <c r="P1097" s="2191">
        <f>O1097*H1097</f>
        <v>80.628636</v>
      </c>
      <c r="Q1097" s="2191">
        <v>2.9999999999999997E-4</v>
      </c>
      <c r="R1097" s="2191">
        <f>Q1097*H1097</f>
        <v>0.54974069999999997</v>
      </c>
      <c r="S1097" s="2191">
        <v>0</v>
      </c>
      <c r="T1097" s="2192">
        <f>S1097*H1097</f>
        <v>0</v>
      </c>
      <c r="AR1097" s="2193" t="s">
        <v>2894</v>
      </c>
      <c r="AT1097" s="2193" t="s">
        <v>3286</v>
      </c>
      <c r="AU1097" s="2193" t="s">
        <v>134</v>
      </c>
      <c r="AY1097" s="2056" t="s">
        <v>3285</v>
      </c>
      <c r="BE1097" s="2194">
        <f>IF(N1097="základní",J1097,0)</f>
        <v>0</v>
      </c>
      <c r="BF1097" s="2194">
        <f>IF(N1097="snížená",J1097,0)</f>
        <v>0</v>
      </c>
      <c r="BG1097" s="2194">
        <f>IF(N1097="zákl. přenesená",J1097,0)</f>
        <v>0</v>
      </c>
      <c r="BH1097" s="2194">
        <f>IF(N1097="sníž. přenesená",J1097,0)</f>
        <v>0</v>
      </c>
      <c r="BI1097" s="2194">
        <f>IF(N1097="nulová",J1097,0)</f>
        <v>0</v>
      </c>
      <c r="BJ1097" s="2056" t="s">
        <v>134</v>
      </c>
      <c r="BK1097" s="2194">
        <f>ROUND(I1097*H1097,2)</f>
        <v>0</v>
      </c>
      <c r="BL1097" s="2056" t="s">
        <v>2894</v>
      </c>
      <c r="BM1097" s="2193" t="s">
        <v>4134</v>
      </c>
    </row>
    <row r="1098" spans="2:65" s="2195" customFormat="1">
      <c r="B1098" s="2196"/>
      <c r="D1098" s="2197" t="s">
        <v>3303</v>
      </c>
      <c r="E1098" s="2198" t="s">
        <v>3146</v>
      </c>
      <c r="F1098" s="2199" t="s">
        <v>3517</v>
      </c>
      <c r="H1098" s="2198" t="s">
        <v>3146</v>
      </c>
      <c r="L1098" s="2196"/>
      <c r="M1098" s="2200"/>
      <c r="T1098" s="2201"/>
      <c r="AT1098" s="2198" t="s">
        <v>3303</v>
      </c>
      <c r="AU1098" s="2198" t="s">
        <v>134</v>
      </c>
      <c r="AV1098" s="2195" t="s">
        <v>133</v>
      </c>
      <c r="AW1098" s="2195" t="s">
        <v>3171</v>
      </c>
      <c r="AX1098" s="2195" t="s">
        <v>3213</v>
      </c>
      <c r="AY1098" s="2198" t="s">
        <v>3285</v>
      </c>
    </row>
    <row r="1099" spans="2:65" s="2209" customFormat="1">
      <c r="B1099" s="2210"/>
      <c r="D1099" s="2197" t="s">
        <v>3303</v>
      </c>
      <c r="E1099" s="2211" t="s">
        <v>3146</v>
      </c>
      <c r="F1099" s="5560">
        <v>292.61200000000002</v>
      </c>
      <c r="G1099" s="5574"/>
      <c r="H1099" s="5569">
        <v>293.61200000000002</v>
      </c>
      <c r="L1099" s="2210"/>
      <c r="M1099" s="2214"/>
      <c r="T1099" s="2215"/>
      <c r="AT1099" s="2211" t="s">
        <v>3303</v>
      </c>
      <c r="AU1099" s="2211" t="s">
        <v>134</v>
      </c>
      <c r="AV1099" s="2209" t="s">
        <v>134</v>
      </c>
      <c r="AW1099" s="2209" t="s">
        <v>3171</v>
      </c>
      <c r="AX1099" s="2209" t="s">
        <v>3213</v>
      </c>
      <c r="AY1099" s="2211" t="s">
        <v>3285</v>
      </c>
    </row>
    <row r="1100" spans="2:65" s="2195" customFormat="1">
      <c r="B1100" s="2196"/>
      <c r="D1100" s="2197" t="s">
        <v>3303</v>
      </c>
      <c r="E1100" s="2198" t="s">
        <v>3146</v>
      </c>
      <c r="F1100" s="2199" t="s">
        <v>3661</v>
      </c>
      <c r="H1100" s="2198" t="s">
        <v>3146</v>
      </c>
      <c r="L1100" s="2196"/>
      <c r="M1100" s="2200"/>
      <c r="T1100" s="2201"/>
      <c r="AT1100" s="2198" t="s">
        <v>3303</v>
      </c>
      <c r="AU1100" s="2198" t="s">
        <v>134</v>
      </c>
      <c r="AV1100" s="2195" t="s">
        <v>133</v>
      </c>
      <c r="AW1100" s="2195" t="s">
        <v>3171</v>
      </c>
      <c r="AX1100" s="2195" t="s">
        <v>3213</v>
      </c>
      <c r="AY1100" s="2198" t="s">
        <v>3285</v>
      </c>
    </row>
    <row r="1101" spans="2:65" s="2209" customFormat="1">
      <c r="B1101" s="2210"/>
      <c r="D1101" s="2197" t="s">
        <v>3303</v>
      </c>
      <c r="E1101" s="2211" t="s">
        <v>3146</v>
      </c>
      <c r="F1101" s="5560">
        <v>464.57600000000002</v>
      </c>
      <c r="G1101" s="5574"/>
      <c r="H1101" s="5569">
        <v>464.57600000000002</v>
      </c>
      <c r="L1101" s="2210"/>
      <c r="M1101" s="2214"/>
      <c r="T1101" s="2215"/>
      <c r="AT1101" s="2211" t="s">
        <v>3303</v>
      </c>
      <c r="AU1101" s="2211" t="s">
        <v>134</v>
      </c>
      <c r="AV1101" s="2209" t="s">
        <v>134</v>
      </c>
      <c r="AW1101" s="2209" t="s">
        <v>3171</v>
      </c>
      <c r="AX1101" s="2209" t="s">
        <v>3213</v>
      </c>
      <c r="AY1101" s="2211" t="s">
        <v>3285</v>
      </c>
    </row>
    <row r="1102" spans="2:65" s="2195" customFormat="1">
      <c r="B1102" s="2196"/>
      <c r="D1102" s="2197" t="s">
        <v>3303</v>
      </c>
      <c r="E1102" s="2198" t="s">
        <v>3146</v>
      </c>
      <c r="F1102" s="2199" t="s">
        <v>3578</v>
      </c>
      <c r="H1102" s="2198" t="s">
        <v>3146</v>
      </c>
      <c r="L1102" s="2196"/>
      <c r="M1102" s="2200"/>
      <c r="T1102" s="2201"/>
      <c r="AT1102" s="2198" t="s">
        <v>3303</v>
      </c>
      <c r="AU1102" s="2198" t="s">
        <v>134</v>
      </c>
      <c r="AV1102" s="2195" t="s">
        <v>133</v>
      </c>
      <c r="AW1102" s="2195" t="s">
        <v>3171</v>
      </c>
      <c r="AX1102" s="2195" t="s">
        <v>3213</v>
      </c>
      <c r="AY1102" s="2198" t="s">
        <v>3285</v>
      </c>
    </row>
    <row r="1103" spans="2:65" s="2209" customFormat="1">
      <c r="B1103" s="2210"/>
      <c r="D1103" s="2197" t="s">
        <v>3303</v>
      </c>
      <c r="E1103" s="2211" t="s">
        <v>3146</v>
      </c>
      <c r="F1103" s="5560">
        <v>548.88499999999999</v>
      </c>
      <c r="G1103" s="5574"/>
      <c r="H1103" s="5569">
        <v>548.88499999999999</v>
      </c>
      <c r="L1103" s="2210"/>
      <c r="M1103" s="2214"/>
      <c r="T1103" s="2215"/>
      <c r="AT1103" s="2211" t="s">
        <v>3303</v>
      </c>
      <c r="AU1103" s="2211" t="s">
        <v>134</v>
      </c>
      <c r="AV1103" s="2209" t="s">
        <v>134</v>
      </c>
      <c r="AW1103" s="2209" t="s">
        <v>3171</v>
      </c>
      <c r="AX1103" s="2209" t="s">
        <v>3213</v>
      </c>
      <c r="AY1103" s="2211" t="s">
        <v>3285</v>
      </c>
    </row>
    <row r="1104" spans="2:65" s="2195" customFormat="1">
      <c r="B1104" s="2196"/>
      <c r="D1104" s="2197" t="s">
        <v>3303</v>
      </c>
      <c r="E1104" s="2198" t="s">
        <v>3146</v>
      </c>
      <c r="F1104" s="2199" t="s">
        <v>3580</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5560">
        <v>525.39599999999996</v>
      </c>
      <c r="G1105" s="5574"/>
      <c r="H1105" s="5569">
        <v>525.39599999999996</v>
      </c>
      <c r="L1105" s="2210"/>
      <c r="M1105" s="2214"/>
      <c r="T1105" s="2215"/>
      <c r="AT1105" s="2211" t="s">
        <v>3303</v>
      </c>
      <c r="AU1105" s="2211" t="s">
        <v>134</v>
      </c>
      <c r="AV1105" s="2209" t="s">
        <v>134</v>
      </c>
      <c r="AW1105" s="2209" t="s">
        <v>3171</v>
      </c>
      <c r="AX1105" s="2209" t="s">
        <v>3213</v>
      </c>
      <c r="AY1105" s="2211" t="s">
        <v>3285</v>
      </c>
    </row>
    <row r="1106" spans="2:65" s="2216" customFormat="1">
      <c r="B1106" s="2217"/>
      <c r="D1106" s="2197" t="s">
        <v>3303</v>
      </c>
      <c r="E1106" s="2218" t="s">
        <v>3146</v>
      </c>
      <c r="F1106" s="2219" t="s">
        <v>3306</v>
      </c>
      <c r="H1106" s="5569">
        <f>SUM(H1099:H1105)</f>
        <v>1832.4690000000001</v>
      </c>
      <c r="L1106" s="2217"/>
      <c r="M1106" s="2221"/>
      <c r="T1106" s="2222"/>
      <c r="AT1106" s="2218" t="s">
        <v>3303</v>
      </c>
      <c r="AU1106" s="2218" t="s">
        <v>134</v>
      </c>
      <c r="AV1106" s="2216" t="s">
        <v>856</v>
      </c>
      <c r="AW1106" s="2216" t="s">
        <v>3171</v>
      </c>
      <c r="AX1106" s="2216" t="s">
        <v>133</v>
      </c>
      <c r="AY1106" s="2218" t="s">
        <v>3285</v>
      </c>
    </row>
    <row r="1107" spans="2:65" s="2070" customFormat="1" ht="16.5" customHeight="1">
      <c r="B1107" s="2164"/>
      <c r="C1107" s="5561" t="s">
        <v>2943</v>
      </c>
      <c r="D1107" s="4608" t="s">
        <v>3286</v>
      </c>
      <c r="E1107" s="4609" t="s">
        <v>10988</v>
      </c>
      <c r="F1107" s="4610" t="s">
        <v>10989</v>
      </c>
      <c r="G1107" s="4611" t="s">
        <v>611</v>
      </c>
      <c r="H1107" s="5568">
        <f>H1096</f>
        <v>1832.4690000000001</v>
      </c>
      <c r="I1107" s="4613"/>
      <c r="J1107" s="4613">
        <f>ROUND(I1107*H1107,2)</f>
        <v>0</v>
      </c>
      <c r="K1107" s="4610" t="s">
        <v>142</v>
      </c>
      <c r="L1107" s="2071"/>
      <c r="M1107" s="2190" t="s">
        <v>3146</v>
      </c>
      <c r="N1107" s="2163" t="s">
        <v>3181</v>
      </c>
      <c r="O1107" s="2191">
        <v>9.9000000000000005E-2</v>
      </c>
      <c r="P1107" s="2191">
        <f>O1107*H1107</f>
        <v>181.41443100000001</v>
      </c>
      <c r="Q1107" s="2191">
        <v>4.4999999999999997E-3</v>
      </c>
      <c r="R1107" s="2191">
        <f>Q1107*H1107</f>
        <v>8.2461105000000003</v>
      </c>
      <c r="S1107" s="2191">
        <v>0</v>
      </c>
      <c r="T1107" s="2192">
        <f>S1107*H1107</f>
        <v>0</v>
      </c>
      <c r="AR1107" s="2193" t="s">
        <v>2894</v>
      </c>
      <c r="AT1107" s="2193" t="s">
        <v>3286</v>
      </c>
      <c r="AU1107" s="2193" t="s">
        <v>134</v>
      </c>
      <c r="AY1107" s="2056" t="s">
        <v>3285</v>
      </c>
      <c r="BE1107" s="2194">
        <f>IF(N1107="základní",J1107,0)</f>
        <v>0</v>
      </c>
      <c r="BF1107" s="2194">
        <f>IF(N1107="snížená",J1107,0)</f>
        <v>0</v>
      </c>
      <c r="BG1107" s="2194">
        <f>IF(N1107="zákl. přenesená",J1107,0)</f>
        <v>0</v>
      </c>
      <c r="BH1107" s="2194">
        <f>IF(N1107="sníž. přenesená",J1107,0)</f>
        <v>0</v>
      </c>
      <c r="BI1107" s="2194">
        <f>IF(N1107="nulová",J1107,0)</f>
        <v>0</v>
      </c>
      <c r="BJ1107" s="2056" t="s">
        <v>134</v>
      </c>
      <c r="BK1107" s="2194">
        <f>ROUND(I1107*H1107,2)</f>
        <v>0</v>
      </c>
      <c r="BL1107" s="2056" t="s">
        <v>2894</v>
      </c>
      <c r="BM1107" s="2193" t="s">
        <v>10990</v>
      </c>
    </row>
    <row r="1108" spans="2:65" s="2070" customFormat="1" ht="33" customHeight="1">
      <c r="B1108" s="2164"/>
      <c r="C1108" s="5561" t="s">
        <v>11721</v>
      </c>
      <c r="D1108" s="5561" t="s">
        <v>3286</v>
      </c>
      <c r="E1108" s="5567" t="s">
        <v>11713</v>
      </c>
      <c r="F1108" s="5566" t="s">
        <v>11714</v>
      </c>
      <c r="G1108" s="5570" t="s">
        <v>611</v>
      </c>
      <c r="H1108" s="5568">
        <f>H1110</f>
        <v>28.840000000000003</v>
      </c>
      <c r="I1108" s="5571"/>
      <c r="J1108" s="5571">
        <f>ROUND(I1108*H1108,2)</f>
        <v>0</v>
      </c>
      <c r="K1108" s="5566" t="s">
        <v>142</v>
      </c>
      <c r="L1108" s="2071"/>
      <c r="M1108" s="2190" t="s">
        <v>3146</v>
      </c>
      <c r="N1108" s="2163" t="s">
        <v>3181</v>
      </c>
      <c r="O1108" s="2191">
        <v>0.621</v>
      </c>
      <c r="P1108" s="2191">
        <f>O1108*H1108</f>
        <v>17.909640000000003</v>
      </c>
      <c r="Q1108" s="2191">
        <v>7.3000000000000001E-3</v>
      </c>
      <c r="R1108" s="2191">
        <f>Q1108*H1108</f>
        <v>0.21053200000000002</v>
      </c>
      <c r="S1108" s="2191">
        <v>0</v>
      </c>
      <c r="T1108" s="2192">
        <f>S1108*H1108</f>
        <v>0</v>
      </c>
      <c r="AR1108" s="2193" t="s">
        <v>2894</v>
      </c>
      <c r="AT1108" s="2193" t="s">
        <v>3286</v>
      </c>
      <c r="AU1108" s="2193" t="s">
        <v>134</v>
      </c>
      <c r="AY1108" s="2056" t="s">
        <v>3285</v>
      </c>
      <c r="BE1108" s="2194">
        <f>IF(N1108="základní",J1108,0)</f>
        <v>0</v>
      </c>
      <c r="BF1108" s="2194">
        <f>IF(N1108="snížená",J1108,0)</f>
        <v>0</v>
      </c>
      <c r="BG1108" s="2194">
        <f>IF(N1108="zákl. přenesená",J1108,0)</f>
        <v>0</v>
      </c>
      <c r="BH1108" s="2194">
        <f>IF(N1108="sníž. přenesená",J1108,0)</f>
        <v>0</v>
      </c>
      <c r="BI1108" s="2194">
        <f>IF(N1108="nulová",J1108,0)</f>
        <v>0</v>
      </c>
      <c r="BJ1108" s="2056" t="s">
        <v>134</v>
      </c>
      <c r="BK1108" s="2194">
        <f>ROUND(I1108*H1108,2)</f>
        <v>0</v>
      </c>
      <c r="BL1108" s="2056" t="s">
        <v>2894</v>
      </c>
      <c r="BM1108" s="2193" t="s">
        <v>4138</v>
      </c>
    </row>
    <row r="1109" spans="2:65" s="2070" customFormat="1" ht="16.5" customHeight="1">
      <c r="B1109" s="2164"/>
      <c r="C1109" s="5609" t="s">
        <v>11722</v>
      </c>
      <c r="D1109" s="5609" t="s">
        <v>135</v>
      </c>
      <c r="E1109" s="5612" t="s">
        <v>11717</v>
      </c>
      <c r="F1109" s="5613" t="s">
        <v>11720</v>
      </c>
      <c r="G1109" s="5614" t="s">
        <v>611</v>
      </c>
      <c r="H1109" s="5610">
        <f>H1111</f>
        <v>31.724000000000004</v>
      </c>
      <c r="I1109" s="5615"/>
      <c r="J1109" s="5615">
        <f>ROUND(I1109*H1109,2)</f>
        <v>0</v>
      </c>
      <c r="K1109" s="5613" t="s">
        <v>142</v>
      </c>
      <c r="L1109" s="2223"/>
      <c r="M1109" s="2224" t="s">
        <v>3146</v>
      </c>
      <c r="N1109" s="2225" t="s">
        <v>3181</v>
      </c>
      <c r="O1109" s="2191">
        <v>0</v>
      </c>
      <c r="P1109" s="2191">
        <f>O1109*H1109</f>
        <v>0</v>
      </c>
      <c r="Q1109" s="2191">
        <v>1.18E-2</v>
      </c>
      <c r="R1109" s="2191">
        <f>Q1109*H1109</f>
        <v>0.37434320000000004</v>
      </c>
      <c r="S1109" s="2191">
        <v>0</v>
      </c>
      <c r="T1109" s="2192">
        <f>S1109*H1109</f>
        <v>0</v>
      </c>
      <c r="AR1109" s="2193" t="s">
        <v>3389</v>
      </c>
      <c r="AT1109" s="2193" t="s">
        <v>135</v>
      </c>
      <c r="AU1109" s="2193" t="s">
        <v>134</v>
      </c>
      <c r="AY1109" s="2056" t="s">
        <v>3285</v>
      </c>
      <c r="BE1109" s="2194">
        <f>IF(N1109="základní",J1109,0)</f>
        <v>0</v>
      </c>
      <c r="BF1109" s="2194">
        <f>IF(N1109="snížená",J1109,0)</f>
        <v>0</v>
      </c>
      <c r="BG1109" s="2194">
        <f>IF(N1109="zákl. přenesená",J1109,0)</f>
        <v>0</v>
      </c>
      <c r="BH1109" s="2194">
        <f>IF(N1109="sníž. přenesená",J1109,0)</f>
        <v>0</v>
      </c>
      <c r="BI1109" s="2194">
        <f>IF(N1109="nulová",J1109,0)</f>
        <v>0</v>
      </c>
      <c r="BJ1109" s="2056" t="s">
        <v>134</v>
      </c>
      <c r="BK1109" s="2194">
        <f>ROUND(I1109*H1109,2)</f>
        <v>0</v>
      </c>
      <c r="BL1109" s="2056" t="s">
        <v>2894</v>
      </c>
      <c r="BM1109" s="2193" t="s">
        <v>4142</v>
      </c>
    </row>
    <row r="1110" spans="2:65" s="2209" customFormat="1">
      <c r="B1110" s="2210"/>
      <c r="D1110" s="2197" t="s">
        <v>3303</v>
      </c>
      <c r="E1110" s="2211" t="s">
        <v>3146</v>
      </c>
      <c r="F1110" s="5560" t="s">
        <v>11769</v>
      </c>
      <c r="H1110" s="5569">
        <f>1.4+8.6+9.42+9.42</f>
        <v>28.840000000000003</v>
      </c>
      <c r="L1110" s="2210"/>
      <c r="M1110" s="2214"/>
      <c r="T1110" s="2215"/>
      <c r="AT1110" s="2211" t="s">
        <v>3303</v>
      </c>
      <c r="AU1110" s="2211" t="s">
        <v>134</v>
      </c>
      <c r="AV1110" s="2209" t="s">
        <v>134</v>
      </c>
      <c r="AW1110" s="2209" t="s">
        <v>3171</v>
      </c>
      <c r="AX1110" s="2209" t="s">
        <v>133</v>
      </c>
      <c r="AY1110" s="2211" t="s">
        <v>3285</v>
      </c>
    </row>
    <row r="1111" spans="2:65" s="2209" customFormat="1">
      <c r="B1111" s="2210"/>
      <c r="D1111" s="2197" t="s">
        <v>3303</v>
      </c>
      <c r="F1111" s="5560" t="s">
        <v>11770</v>
      </c>
      <c r="H1111" s="5569">
        <f>28.84*1.1</f>
        <v>31.724000000000004</v>
      </c>
      <c r="L1111" s="2210"/>
      <c r="M1111" s="2214"/>
      <c r="T1111" s="2215"/>
      <c r="AT1111" s="2211" t="s">
        <v>3303</v>
      </c>
      <c r="AU1111" s="2211" t="s">
        <v>134</v>
      </c>
      <c r="AV1111" s="2209" t="s">
        <v>134</v>
      </c>
      <c r="AW1111" s="2209" t="s">
        <v>3148</v>
      </c>
      <c r="AX1111" s="2209" t="s">
        <v>133</v>
      </c>
      <c r="AY1111" s="2211" t="s">
        <v>3285</v>
      </c>
    </row>
    <row r="1112" spans="2:65" s="2070" customFormat="1" ht="41.25" customHeight="1">
      <c r="B1112" s="2164"/>
      <c r="C1112" s="5561" t="s">
        <v>11723</v>
      </c>
      <c r="D1112" s="5561" t="s">
        <v>3286</v>
      </c>
      <c r="E1112" s="5567" t="s">
        <v>11715</v>
      </c>
      <c r="F1112" s="5566" t="s">
        <v>11716</v>
      </c>
      <c r="G1112" s="5570" t="s">
        <v>611</v>
      </c>
      <c r="H1112" s="5568">
        <f>H1114</f>
        <v>1803.6289999999999</v>
      </c>
      <c r="I1112" s="5571"/>
      <c r="J1112" s="5571">
        <f>ROUND(I1112*H1112,2)</f>
        <v>0</v>
      </c>
      <c r="K1112" s="5566" t="s">
        <v>142</v>
      </c>
      <c r="L1112" s="2071"/>
      <c r="M1112" s="2190" t="s">
        <v>3146</v>
      </c>
      <c r="N1112" s="2163" t="s">
        <v>3181</v>
      </c>
      <c r="O1112" s="2191">
        <v>0.621</v>
      </c>
      <c r="P1112" s="2191">
        <f>O1112*H1112</f>
        <v>1120.0536089999998</v>
      </c>
      <c r="Q1112" s="2191">
        <v>7.3000000000000001E-3</v>
      </c>
      <c r="R1112" s="2191">
        <f>Q1112*H1112</f>
        <v>13.1664917</v>
      </c>
      <c r="S1112" s="2191">
        <v>0</v>
      </c>
      <c r="T1112" s="2192">
        <f>S1112*H1112</f>
        <v>0</v>
      </c>
      <c r="AR1112" s="2193" t="s">
        <v>2894</v>
      </c>
      <c r="AT1112" s="2193" t="s">
        <v>3286</v>
      </c>
      <c r="AU1112" s="2193" t="s">
        <v>134</v>
      </c>
      <c r="AY1112" s="2056" t="s">
        <v>3285</v>
      </c>
      <c r="BE1112" s="2194">
        <f>IF(N1112="základní",J1112,0)</f>
        <v>0</v>
      </c>
      <c r="BF1112" s="2194">
        <f>IF(N1112="snížená",J1112,0)</f>
        <v>0</v>
      </c>
      <c r="BG1112" s="2194">
        <f>IF(N1112="zákl. přenesená",J1112,0)</f>
        <v>0</v>
      </c>
      <c r="BH1112" s="2194">
        <f>IF(N1112="sníž. přenesená",J1112,0)</f>
        <v>0</v>
      </c>
      <c r="BI1112" s="2194">
        <f>IF(N1112="nulová",J1112,0)</f>
        <v>0</v>
      </c>
      <c r="BJ1112" s="2056" t="s">
        <v>134</v>
      </c>
      <c r="BK1112" s="2194">
        <f>ROUND(I1112*H1112,2)</f>
        <v>0</v>
      </c>
      <c r="BL1112" s="2056" t="s">
        <v>2894</v>
      </c>
      <c r="BM1112" s="2193" t="s">
        <v>4138</v>
      </c>
    </row>
    <row r="1113" spans="2:65" s="2070" customFormat="1" ht="27.75" customHeight="1">
      <c r="B1113" s="2164"/>
      <c r="C1113" s="5609" t="s">
        <v>11724</v>
      </c>
      <c r="D1113" s="5609" t="s">
        <v>135</v>
      </c>
      <c r="E1113" s="5612" t="s">
        <v>11718</v>
      </c>
      <c r="F1113" s="5613" t="s">
        <v>11719</v>
      </c>
      <c r="G1113" s="5614" t="s">
        <v>611</v>
      </c>
      <c r="H1113" s="5610">
        <f>H1115</f>
        <v>1983.9919</v>
      </c>
      <c r="I1113" s="5615"/>
      <c r="J1113" s="5615">
        <f>ROUND(I1113*H1113,2)</f>
        <v>0</v>
      </c>
      <c r="K1113" s="5613" t="s">
        <v>142</v>
      </c>
      <c r="L1113" s="2223"/>
      <c r="M1113" s="2224" t="s">
        <v>3146</v>
      </c>
      <c r="N1113" s="2225" t="s">
        <v>3181</v>
      </c>
      <c r="O1113" s="2191">
        <v>0</v>
      </c>
      <c r="P1113" s="2191">
        <f>O1113*H1113</f>
        <v>0</v>
      </c>
      <c r="Q1113" s="2191">
        <v>1.18E-2</v>
      </c>
      <c r="R1113" s="2191">
        <f>Q1113*H1113</f>
        <v>23.411104420000001</v>
      </c>
      <c r="S1113" s="2191">
        <v>0</v>
      </c>
      <c r="T1113" s="2192">
        <f>S1113*H1113</f>
        <v>0</v>
      </c>
      <c r="AR1113" s="2193" t="s">
        <v>3389</v>
      </c>
      <c r="AT1113" s="2193" t="s">
        <v>135</v>
      </c>
      <c r="AU1113" s="2193" t="s">
        <v>134</v>
      </c>
      <c r="AY1113" s="2056" t="s">
        <v>3285</v>
      </c>
      <c r="BE1113" s="2194">
        <f>IF(N1113="základní",J1113,0)</f>
        <v>0</v>
      </c>
      <c r="BF1113" s="2194">
        <f>IF(N1113="snížená",J1113,0)</f>
        <v>0</v>
      </c>
      <c r="BG1113" s="2194">
        <f>IF(N1113="zákl. přenesená",J1113,0)</f>
        <v>0</v>
      </c>
      <c r="BH1113" s="2194">
        <f>IF(N1113="sníž. přenesená",J1113,0)</f>
        <v>0</v>
      </c>
      <c r="BI1113" s="2194">
        <f>IF(N1113="nulová",J1113,0)</f>
        <v>0</v>
      </c>
      <c r="BJ1113" s="2056" t="s">
        <v>134</v>
      </c>
      <c r="BK1113" s="2194">
        <f>ROUND(I1113*H1113,2)</f>
        <v>0</v>
      </c>
      <c r="BL1113" s="2056" t="s">
        <v>2894</v>
      </c>
      <c r="BM1113" s="2193" t="s">
        <v>4142</v>
      </c>
    </row>
    <row r="1114" spans="2:65" s="2209" customFormat="1">
      <c r="B1114" s="2210"/>
      <c r="D1114" s="2197" t="s">
        <v>3303</v>
      </c>
      <c r="E1114" s="2211" t="s">
        <v>3146</v>
      </c>
      <c r="F1114" s="5560" t="s">
        <v>11771</v>
      </c>
      <c r="H1114" s="5569">
        <f>292.212+455.976+539.465+515.976</f>
        <v>1803.6289999999999</v>
      </c>
      <c r="L1114" s="2210"/>
      <c r="M1114" s="2214"/>
      <c r="T1114" s="2215"/>
      <c r="AT1114" s="2211" t="s">
        <v>3303</v>
      </c>
      <c r="AU1114" s="2211" t="s">
        <v>134</v>
      </c>
      <c r="AV1114" s="2209" t="s">
        <v>134</v>
      </c>
      <c r="AW1114" s="2209" t="s">
        <v>3171</v>
      </c>
      <c r="AX1114" s="2209" t="s">
        <v>133</v>
      </c>
      <c r="AY1114" s="2211" t="s">
        <v>3285</v>
      </c>
    </row>
    <row r="1115" spans="2:65" s="2209" customFormat="1">
      <c r="B1115" s="2210"/>
      <c r="D1115" s="2197" t="s">
        <v>3303</v>
      </c>
      <c r="F1115" s="5560" t="s">
        <v>11772</v>
      </c>
      <c r="H1115" s="5569">
        <f>1803.629*1.1</f>
        <v>1983.9919</v>
      </c>
      <c r="L1115" s="2210"/>
      <c r="M1115" s="2214"/>
      <c r="T1115" s="2215"/>
      <c r="AT1115" s="2211" t="s">
        <v>3303</v>
      </c>
      <c r="AU1115" s="2211" t="s">
        <v>134</v>
      </c>
      <c r="AV1115" s="2209" t="s">
        <v>134</v>
      </c>
      <c r="AW1115" s="2209" t="s">
        <v>3148</v>
      </c>
      <c r="AX1115" s="2209" t="s">
        <v>133</v>
      </c>
      <c r="AY1115" s="2211" t="s">
        <v>3285</v>
      </c>
    </row>
    <row r="1116" spans="2:65" s="2070" customFormat="1" ht="33" customHeight="1">
      <c r="B1116" s="2164"/>
      <c r="C1116" s="5561" t="s">
        <v>4598</v>
      </c>
      <c r="D1116" s="4608" t="s">
        <v>3286</v>
      </c>
      <c r="E1116" s="4609" t="s">
        <v>4136</v>
      </c>
      <c r="F1116" s="4610" t="s">
        <v>4137</v>
      </c>
      <c r="G1116" s="4611" t="s">
        <v>611</v>
      </c>
      <c r="H1116" s="4612">
        <v>1301.461</v>
      </c>
      <c r="I1116" s="5874" t="s">
        <v>11555</v>
      </c>
      <c r="J1116" s="5875"/>
      <c r="K1116" s="4610" t="s">
        <v>142</v>
      </c>
      <c r="L1116" s="2071"/>
      <c r="M1116" s="2190" t="s">
        <v>3146</v>
      </c>
      <c r="N1116" s="2163" t="s">
        <v>3181</v>
      </c>
      <c r="O1116" s="2191">
        <v>0.621</v>
      </c>
      <c r="P1116" s="2191">
        <f>O1116*H1116</f>
        <v>808.20728099999997</v>
      </c>
      <c r="Q1116" s="2191">
        <v>7.3000000000000001E-3</v>
      </c>
      <c r="R1116" s="2191">
        <f>Q1116*H1116</f>
        <v>9.5006652999999996</v>
      </c>
      <c r="S1116" s="2191">
        <v>0</v>
      </c>
      <c r="T1116" s="2192">
        <f>S1116*H1116</f>
        <v>0</v>
      </c>
      <c r="AR1116" s="2193" t="s">
        <v>2894</v>
      </c>
      <c r="AT1116" s="2193" t="s">
        <v>3286</v>
      </c>
      <c r="AU1116" s="2193" t="s">
        <v>134</v>
      </c>
      <c r="AY1116" s="2056" t="s">
        <v>3285</v>
      </c>
      <c r="BE1116" s="2194">
        <f>IF(N1116="základní",J1116,0)</f>
        <v>0</v>
      </c>
      <c r="BF1116" s="2194">
        <f>IF(N1116="snížená",J1116,0)</f>
        <v>0</v>
      </c>
      <c r="BG1116" s="2194">
        <f>IF(N1116="zákl. přenesená",J1116,0)</f>
        <v>0</v>
      </c>
      <c r="BH1116" s="2194">
        <f>IF(N1116="sníž. přenesená",J1116,0)</f>
        <v>0</v>
      </c>
      <c r="BI1116" s="2194">
        <f>IF(N1116="nulová",J1116,0)</f>
        <v>0</v>
      </c>
      <c r="BJ1116" s="2056" t="s">
        <v>134</v>
      </c>
      <c r="BK1116" s="2194">
        <v>0</v>
      </c>
      <c r="BL1116" s="2056" t="s">
        <v>2894</v>
      </c>
      <c r="BM1116" s="2193" t="s">
        <v>4138</v>
      </c>
    </row>
    <row r="1117" spans="2:65" s="2070" customFormat="1" ht="16.5" customHeight="1">
      <c r="B1117" s="2164"/>
      <c r="C1117" s="5609" t="s">
        <v>5081</v>
      </c>
      <c r="D1117" s="4614" t="s">
        <v>135</v>
      </c>
      <c r="E1117" s="4615" t="s">
        <v>4140</v>
      </c>
      <c r="F1117" s="4616" t="s">
        <v>4141</v>
      </c>
      <c r="G1117" s="4617" t="s">
        <v>611</v>
      </c>
      <c r="H1117" s="4618">
        <v>1431.607</v>
      </c>
      <c r="I1117" s="5874" t="s">
        <v>11555</v>
      </c>
      <c r="J1117" s="5875"/>
      <c r="K1117" s="4616" t="s">
        <v>142</v>
      </c>
      <c r="L1117" s="2223"/>
      <c r="M1117" s="2224" t="s">
        <v>3146</v>
      </c>
      <c r="N1117" s="2225" t="s">
        <v>3181</v>
      </c>
      <c r="O1117" s="2191">
        <v>0</v>
      </c>
      <c r="P1117" s="2191">
        <f>O1117*H1117</f>
        <v>0</v>
      </c>
      <c r="Q1117" s="2191">
        <v>1.18E-2</v>
      </c>
      <c r="R1117" s="2191">
        <f>Q1117*H1117</f>
        <v>16.892962600000001</v>
      </c>
      <c r="S1117" s="2191">
        <v>0</v>
      </c>
      <c r="T1117" s="2192">
        <f>S1117*H1117</f>
        <v>0</v>
      </c>
      <c r="AR1117" s="2193" t="s">
        <v>3389</v>
      </c>
      <c r="AT1117" s="2193" t="s">
        <v>135</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v>0</v>
      </c>
      <c r="BL1117" s="2056" t="s">
        <v>2894</v>
      </c>
      <c r="BM1117" s="2193" t="s">
        <v>4142</v>
      </c>
    </row>
    <row r="1118" spans="2:65" s="2209" customFormat="1">
      <c r="B1118" s="2210"/>
      <c r="D1118" s="2197" t="s">
        <v>3303</v>
      </c>
      <c r="E1118" s="2211" t="s">
        <v>3146</v>
      </c>
      <c r="F1118" s="2212" t="s">
        <v>10991</v>
      </c>
      <c r="H1118" s="2213">
        <v>1301.461</v>
      </c>
      <c r="L1118" s="2210"/>
      <c r="M1118" s="2214"/>
      <c r="T1118" s="2215"/>
      <c r="AT1118" s="2211" t="s">
        <v>3303</v>
      </c>
      <c r="AU1118" s="2211" t="s">
        <v>134</v>
      </c>
      <c r="AV1118" s="2209" t="s">
        <v>134</v>
      </c>
      <c r="AW1118" s="2209" t="s">
        <v>3171</v>
      </c>
      <c r="AX1118" s="2209" t="s">
        <v>133</v>
      </c>
      <c r="AY1118" s="2211" t="s">
        <v>3285</v>
      </c>
    </row>
    <row r="1119" spans="2:65" s="2209" customFormat="1">
      <c r="B1119" s="2210"/>
      <c r="D1119" s="2197" t="s">
        <v>3303</v>
      </c>
      <c r="F1119" s="2212" t="s">
        <v>10992</v>
      </c>
      <c r="H1119" s="2213">
        <v>1431.607</v>
      </c>
      <c r="L1119" s="2210"/>
      <c r="M1119" s="2214"/>
      <c r="T1119" s="2215"/>
      <c r="AT1119" s="2211" t="s">
        <v>3303</v>
      </c>
      <c r="AU1119" s="2211" t="s">
        <v>134</v>
      </c>
      <c r="AV1119" s="2209" t="s">
        <v>134</v>
      </c>
      <c r="AW1119" s="2209" t="s">
        <v>3148</v>
      </c>
      <c r="AX1119" s="2209" t="s">
        <v>133</v>
      </c>
      <c r="AY1119" s="2211" t="s">
        <v>3285</v>
      </c>
    </row>
    <row r="1120" spans="2:65" s="2070" customFormat="1" ht="24.2" customHeight="1">
      <c r="B1120" s="2164"/>
      <c r="C1120" s="5561" t="s">
        <v>5086</v>
      </c>
      <c r="D1120" s="4608" t="s">
        <v>3286</v>
      </c>
      <c r="E1120" s="4609" t="s">
        <v>4144</v>
      </c>
      <c r="F1120" s="4610" t="s">
        <v>4145</v>
      </c>
      <c r="G1120" s="4611" t="s">
        <v>611</v>
      </c>
      <c r="H1120" s="5568">
        <f>H1096</f>
        <v>1832.4690000000001</v>
      </c>
      <c r="I1120" s="4613"/>
      <c r="J1120" s="4613">
        <f>ROUND(I1120*H1120,2)</f>
        <v>0</v>
      </c>
      <c r="K1120" s="4610" t="s">
        <v>142</v>
      </c>
      <c r="L1120" s="2071"/>
      <c r="M1120" s="2190" t="s">
        <v>3146</v>
      </c>
      <c r="N1120" s="2163" t="s">
        <v>3181</v>
      </c>
      <c r="O1120" s="2191">
        <v>0.1</v>
      </c>
      <c r="P1120" s="2191">
        <f>O1120*H1120</f>
        <v>183.24690000000001</v>
      </c>
      <c r="Q1120" s="2191">
        <v>0</v>
      </c>
      <c r="R1120" s="2191">
        <f>Q1120*H1120</f>
        <v>0</v>
      </c>
      <c r="S1120" s="2191">
        <v>0</v>
      </c>
      <c r="T1120" s="2192">
        <f>S1120*H1120</f>
        <v>0</v>
      </c>
      <c r="AR1120" s="2193" t="s">
        <v>2894</v>
      </c>
      <c r="AT1120" s="2193" t="s">
        <v>3286</v>
      </c>
      <c r="AU1120" s="2193" t="s">
        <v>134</v>
      </c>
      <c r="AY1120" s="2056" t="s">
        <v>3285</v>
      </c>
      <c r="BE1120" s="2194">
        <f>IF(N1120="základní",J1120,0)</f>
        <v>0</v>
      </c>
      <c r="BF1120" s="2194">
        <f>IF(N1120="snížená",J1120,0)</f>
        <v>0</v>
      </c>
      <c r="BG1120" s="2194">
        <f>IF(N1120="zákl. přenesená",J1120,0)</f>
        <v>0</v>
      </c>
      <c r="BH1120" s="2194">
        <f>IF(N1120="sníž. přenesená",J1120,0)</f>
        <v>0</v>
      </c>
      <c r="BI1120" s="2194">
        <f>IF(N1120="nulová",J1120,0)</f>
        <v>0</v>
      </c>
      <c r="BJ1120" s="2056" t="s">
        <v>134</v>
      </c>
      <c r="BK1120" s="2194">
        <f>ROUND(I1120*H1120,2)</f>
        <v>0</v>
      </c>
      <c r="BL1120" s="2056" t="s">
        <v>2894</v>
      </c>
      <c r="BM1120" s="2193" t="s">
        <v>4146</v>
      </c>
    </row>
    <row r="1121" spans="2:65" s="2070" customFormat="1" ht="24.2" customHeight="1">
      <c r="B1121" s="2164"/>
      <c r="C1121" s="5561" t="s">
        <v>5091</v>
      </c>
      <c r="D1121" s="4608" t="s">
        <v>3286</v>
      </c>
      <c r="E1121" s="4609" t="s">
        <v>4148</v>
      </c>
      <c r="F1121" s="4610" t="s">
        <v>4149</v>
      </c>
      <c r="G1121" s="4611" t="s">
        <v>611</v>
      </c>
      <c r="H1121" s="5568">
        <f>H1096</f>
        <v>1832.4690000000001</v>
      </c>
      <c r="I1121" s="4613"/>
      <c r="J1121" s="4613">
        <f>ROUND(I1121*H1121,2)</f>
        <v>0</v>
      </c>
      <c r="K1121" s="4610" t="s">
        <v>142</v>
      </c>
      <c r="L1121" s="2071"/>
      <c r="M1121" s="2190" t="s">
        <v>3146</v>
      </c>
      <c r="N1121" s="2163" t="s">
        <v>3181</v>
      </c>
      <c r="O1121" s="2191">
        <v>0.1</v>
      </c>
      <c r="P1121" s="2191">
        <f>O1121*H1121</f>
        <v>183.24690000000001</v>
      </c>
      <c r="Q1121" s="2191">
        <v>0</v>
      </c>
      <c r="R1121" s="2191">
        <f>Q1121*H1121</f>
        <v>0</v>
      </c>
      <c r="S1121" s="2191">
        <v>0</v>
      </c>
      <c r="T1121" s="2192">
        <f>S1121*H1121</f>
        <v>0</v>
      </c>
      <c r="AR1121" s="2193" t="s">
        <v>2894</v>
      </c>
      <c r="AT1121" s="2193" t="s">
        <v>3286</v>
      </c>
      <c r="AU1121" s="2193" t="s">
        <v>134</v>
      </c>
      <c r="AY1121" s="2056" t="s">
        <v>3285</v>
      </c>
      <c r="BE1121" s="2194">
        <f>IF(N1121="základní",J1121,0)</f>
        <v>0</v>
      </c>
      <c r="BF1121" s="2194">
        <f>IF(N1121="snížená",J1121,0)</f>
        <v>0</v>
      </c>
      <c r="BG1121" s="2194">
        <f>IF(N1121="zákl. přenesená",J1121,0)</f>
        <v>0</v>
      </c>
      <c r="BH1121" s="2194">
        <f>IF(N1121="sníž. přenesená",J1121,0)</f>
        <v>0</v>
      </c>
      <c r="BI1121" s="2194">
        <f>IF(N1121="nulová",J1121,0)</f>
        <v>0</v>
      </c>
      <c r="BJ1121" s="2056" t="s">
        <v>134</v>
      </c>
      <c r="BK1121" s="2194">
        <f>ROUND(I1121*H1121,2)</f>
        <v>0</v>
      </c>
      <c r="BL1121" s="2056" t="s">
        <v>2894</v>
      </c>
      <c r="BM1121" s="2193" t="s">
        <v>4150</v>
      </c>
    </row>
    <row r="1122" spans="2:65" s="2070" customFormat="1" ht="24.2" customHeight="1">
      <c r="B1122" s="2164"/>
      <c r="C1122" s="5561" t="s">
        <v>5096</v>
      </c>
      <c r="D1122" s="4608" t="s">
        <v>3286</v>
      </c>
      <c r="E1122" s="4609" t="s">
        <v>4152</v>
      </c>
      <c r="F1122" s="4610" t="s">
        <v>4153</v>
      </c>
      <c r="G1122" s="4611" t="s">
        <v>302</v>
      </c>
      <c r="H1122" s="5568">
        <v>65.292000000000002</v>
      </c>
      <c r="I1122" s="4613"/>
      <c r="J1122" s="4613">
        <f>ROUND(I1122*H1122,2)</f>
        <v>0</v>
      </c>
      <c r="K1122" s="4610" t="s">
        <v>142</v>
      </c>
      <c r="L1122" s="2071"/>
      <c r="M1122" s="2190" t="s">
        <v>3146</v>
      </c>
      <c r="N1122" s="2163" t="s">
        <v>3181</v>
      </c>
      <c r="O1122" s="2191">
        <v>1.3049999999999999</v>
      </c>
      <c r="P1122" s="2191">
        <f>O1122*H1122</f>
        <v>85.206059999999994</v>
      </c>
      <c r="Q1122" s="2191">
        <v>0</v>
      </c>
      <c r="R1122" s="2191">
        <f>Q1122*H1122</f>
        <v>0</v>
      </c>
      <c r="S1122" s="2191">
        <v>0</v>
      </c>
      <c r="T1122" s="2192">
        <f>S1122*H1122</f>
        <v>0</v>
      </c>
      <c r="AR1122" s="2193" t="s">
        <v>2894</v>
      </c>
      <c r="AT1122" s="2193" t="s">
        <v>3286</v>
      </c>
      <c r="AU1122" s="2193" t="s">
        <v>134</v>
      </c>
      <c r="AY1122" s="2056" t="s">
        <v>3285</v>
      </c>
      <c r="BE1122" s="2194">
        <f>IF(N1122="základní",J1122,0)</f>
        <v>0</v>
      </c>
      <c r="BF1122" s="2194">
        <f>IF(N1122="snížená",J1122,0)</f>
        <v>0</v>
      </c>
      <c r="BG1122" s="2194">
        <f>IF(N1122="zákl. přenesená",J1122,0)</f>
        <v>0</v>
      </c>
      <c r="BH1122" s="2194">
        <f>IF(N1122="sníž. přenesená",J1122,0)</f>
        <v>0</v>
      </c>
      <c r="BI1122" s="2194">
        <f>IF(N1122="nulová",J1122,0)</f>
        <v>0</v>
      </c>
      <c r="BJ1122" s="2056" t="s">
        <v>134</v>
      </c>
      <c r="BK1122" s="2194">
        <f>ROUND(I1122*H1122,2)</f>
        <v>0</v>
      </c>
      <c r="BL1122" s="2056" t="s">
        <v>2894</v>
      </c>
      <c r="BM1122" s="2193" t="s">
        <v>4154</v>
      </c>
    </row>
    <row r="1123" spans="2:65" s="2070" customFormat="1" ht="24.2" customHeight="1">
      <c r="B1123" s="2164"/>
      <c r="C1123" s="5561" t="s">
        <v>5590</v>
      </c>
      <c r="D1123" s="4608" t="s">
        <v>3286</v>
      </c>
      <c r="E1123" s="4609" t="s">
        <v>4156</v>
      </c>
      <c r="F1123" s="4610" t="s">
        <v>4157</v>
      </c>
      <c r="G1123" s="4611" t="s">
        <v>302</v>
      </c>
      <c r="H1123" s="5568">
        <v>65.292000000000002</v>
      </c>
      <c r="I1123" s="4613"/>
      <c r="J1123" s="4613">
        <f>ROUND(I1123*H1123,2)</f>
        <v>0</v>
      </c>
      <c r="K1123" s="4610" t="s">
        <v>142</v>
      </c>
      <c r="L1123" s="2071"/>
      <c r="M1123" s="2190" t="s">
        <v>3146</v>
      </c>
      <c r="N1123" s="2163" t="s">
        <v>3181</v>
      </c>
      <c r="O1123" s="2191">
        <v>1.1399999999999999</v>
      </c>
      <c r="P1123" s="2191">
        <f>O1123*H1123</f>
        <v>74.432879999999997</v>
      </c>
      <c r="Q1123" s="2191">
        <v>0</v>
      </c>
      <c r="R1123" s="2191">
        <f>Q1123*H1123</f>
        <v>0</v>
      </c>
      <c r="S1123" s="2191">
        <v>0</v>
      </c>
      <c r="T1123" s="2192">
        <f>S1123*H1123</f>
        <v>0</v>
      </c>
      <c r="AR1123" s="2193" t="s">
        <v>2894</v>
      </c>
      <c r="AT1123" s="2193" t="s">
        <v>3286</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4158</v>
      </c>
    </row>
    <row r="1124" spans="2:65" s="2178" customFormat="1" ht="22.9" customHeight="1">
      <c r="B1124" s="2179"/>
      <c r="D1124" s="2180" t="s">
        <v>3212</v>
      </c>
      <c r="E1124" s="2188" t="s">
        <v>4159</v>
      </c>
      <c r="F1124" s="2188" t="s">
        <v>4160</v>
      </c>
      <c r="J1124" s="2189">
        <f>BK1124</f>
        <v>0</v>
      </c>
      <c r="L1124" s="2179"/>
      <c r="M1124" s="2183"/>
      <c r="P1124" s="2184">
        <f>SUM(P1125:P1138)</f>
        <v>83.055020000000013</v>
      </c>
      <c r="R1124" s="2184">
        <f>SUM(R1125:R1138)</f>
        <v>0.26498679999999997</v>
      </c>
      <c r="T1124" s="2185">
        <f>SUM(T1125:T1138)</f>
        <v>0</v>
      </c>
      <c r="AR1124" s="2180" t="s">
        <v>134</v>
      </c>
      <c r="AT1124" s="2186" t="s">
        <v>3212</v>
      </c>
      <c r="AU1124" s="2186" t="s">
        <v>133</v>
      </c>
      <c r="AY1124" s="2180" t="s">
        <v>3285</v>
      </c>
      <c r="BK1124" s="2187">
        <f>SUM(BK1125:BK1138)</f>
        <v>0</v>
      </c>
    </row>
    <row r="1125" spans="2:65" s="2070" customFormat="1" ht="16.5" customHeight="1">
      <c r="B1125" s="2164"/>
      <c r="C1125" s="4608" t="s">
        <v>5595</v>
      </c>
      <c r="D1125" s="4608" t="s">
        <v>3286</v>
      </c>
      <c r="E1125" s="4609" t="s">
        <v>4162</v>
      </c>
      <c r="F1125" s="4610" t="s">
        <v>4163</v>
      </c>
      <c r="G1125" s="4611" t="s">
        <v>611</v>
      </c>
      <c r="H1125" s="4612">
        <v>265.60000000000002</v>
      </c>
      <c r="I1125" s="4613"/>
      <c r="J1125" s="4613">
        <f>ROUND(I1125*H1125,2)</f>
        <v>0</v>
      </c>
      <c r="K1125" s="4610" t="s">
        <v>142</v>
      </c>
      <c r="L1125" s="2071"/>
      <c r="M1125" s="2190" t="s">
        <v>3146</v>
      </c>
      <c r="N1125" s="2163" t="s">
        <v>3181</v>
      </c>
      <c r="O1125" s="2191">
        <v>4.2000000000000003E-2</v>
      </c>
      <c r="P1125" s="2191">
        <f>O1125*H1125</f>
        <v>11.155200000000002</v>
      </c>
      <c r="Q1125" s="2191">
        <v>0</v>
      </c>
      <c r="R1125" s="2191">
        <f>Q1125*H1125</f>
        <v>0</v>
      </c>
      <c r="S1125" s="2191">
        <v>0</v>
      </c>
      <c r="T1125" s="2192">
        <f>S1125*H1125</f>
        <v>0</v>
      </c>
      <c r="AR1125" s="2193" t="s">
        <v>2894</v>
      </c>
      <c r="AT1125" s="2193" t="s">
        <v>3286</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4164</v>
      </c>
    </row>
    <row r="1126" spans="2:65" s="2070" customFormat="1" ht="16.5" customHeight="1">
      <c r="B1126" s="2164"/>
      <c r="C1126" s="4608" t="s">
        <v>5076</v>
      </c>
      <c r="D1126" s="4608" t="s">
        <v>3286</v>
      </c>
      <c r="E1126" s="4609" t="s">
        <v>4166</v>
      </c>
      <c r="F1126" s="4610" t="s">
        <v>4167</v>
      </c>
      <c r="G1126" s="4611" t="s">
        <v>611</v>
      </c>
      <c r="H1126" s="4612">
        <v>265.60000000000002</v>
      </c>
      <c r="I1126" s="4613"/>
      <c r="J1126" s="4613">
        <f>ROUND(I1126*H1126,2)</f>
        <v>0</v>
      </c>
      <c r="K1126" s="4610" t="s">
        <v>142</v>
      </c>
      <c r="L1126" s="2071"/>
      <c r="M1126" s="2190" t="s">
        <v>3146</v>
      </c>
      <c r="N1126" s="2163" t="s">
        <v>3181</v>
      </c>
      <c r="O1126" s="2191">
        <v>1.4E-2</v>
      </c>
      <c r="P1126" s="2191">
        <f>O1126*H1126</f>
        <v>3.7184000000000004</v>
      </c>
      <c r="Q1126" s="2191">
        <v>0</v>
      </c>
      <c r="R1126" s="2191">
        <f>Q1126*H1126</f>
        <v>0</v>
      </c>
      <c r="S1126" s="2191">
        <v>0</v>
      </c>
      <c r="T1126" s="2192">
        <f>S1126*H1126</f>
        <v>0</v>
      </c>
      <c r="AR1126" s="2193" t="s">
        <v>2894</v>
      </c>
      <c r="AT1126" s="2193" t="s">
        <v>3286</v>
      </c>
      <c r="AU1126" s="2193" t="s">
        <v>134</v>
      </c>
      <c r="AY1126" s="2056" t="s">
        <v>3285</v>
      </c>
      <c r="BE1126" s="2194">
        <f>IF(N1126="základní",J1126,0)</f>
        <v>0</v>
      </c>
      <c r="BF1126" s="2194">
        <f>IF(N1126="snížená",J1126,0)</f>
        <v>0</v>
      </c>
      <c r="BG1126" s="2194">
        <f>IF(N1126="zákl. přenesená",J1126,0)</f>
        <v>0</v>
      </c>
      <c r="BH1126" s="2194">
        <f>IF(N1126="sníž. přenesená",J1126,0)</f>
        <v>0</v>
      </c>
      <c r="BI1126" s="2194">
        <f>IF(N1126="nulová",J1126,0)</f>
        <v>0</v>
      </c>
      <c r="BJ1126" s="2056" t="s">
        <v>134</v>
      </c>
      <c r="BK1126" s="2194">
        <f>ROUND(I1126*H1126,2)</f>
        <v>0</v>
      </c>
      <c r="BL1126" s="2056" t="s">
        <v>2894</v>
      </c>
      <c r="BM1126" s="2193" t="s">
        <v>4168</v>
      </c>
    </row>
    <row r="1127" spans="2:65" s="2070" customFormat="1" ht="24.2" customHeight="1">
      <c r="B1127" s="2164"/>
      <c r="C1127" s="4608" t="s">
        <v>5665</v>
      </c>
      <c r="D1127" s="4608" t="s">
        <v>3286</v>
      </c>
      <c r="E1127" s="4609" t="s">
        <v>10993</v>
      </c>
      <c r="F1127" s="4610" t="s">
        <v>10994</v>
      </c>
      <c r="G1127" s="4611" t="s">
        <v>611</v>
      </c>
      <c r="H1127" s="4612">
        <v>58</v>
      </c>
      <c r="I1127" s="4613"/>
      <c r="J1127" s="4613">
        <f>ROUND(I1127*H1127,2)</f>
        <v>0</v>
      </c>
      <c r="K1127" s="4610" t="s">
        <v>142</v>
      </c>
      <c r="L1127" s="2071"/>
      <c r="M1127" s="2190" t="s">
        <v>3146</v>
      </c>
      <c r="N1127" s="2163" t="s">
        <v>3181</v>
      </c>
      <c r="O1127" s="2191">
        <v>0.09</v>
      </c>
      <c r="P1127" s="2191">
        <f>O1127*H1127</f>
        <v>5.22</v>
      </c>
      <c r="Q1127" s="2191">
        <v>8.0000000000000007E-5</v>
      </c>
      <c r="R1127" s="2191">
        <f>Q1127*H1127</f>
        <v>4.64E-3</v>
      </c>
      <c r="S1127" s="2191">
        <v>0</v>
      </c>
      <c r="T1127" s="2192">
        <f>S1127*H1127</f>
        <v>0</v>
      </c>
      <c r="AR1127" s="2193" t="s">
        <v>2894</v>
      </c>
      <c r="AT1127" s="2193" t="s">
        <v>3286</v>
      </c>
      <c r="AU1127" s="2193" t="s">
        <v>134</v>
      </c>
      <c r="AY1127" s="2056" t="s">
        <v>3285</v>
      </c>
      <c r="BE1127" s="2194">
        <f>IF(N1127="základní",J1127,0)</f>
        <v>0</v>
      </c>
      <c r="BF1127" s="2194">
        <f>IF(N1127="snížená",J1127,0)</f>
        <v>0</v>
      </c>
      <c r="BG1127" s="2194">
        <f>IF(N1127="zákl. přenesená",J1127,0)</f>
        <v>0</v>
      </c>
      <c r="BH1127" s="2194">
        <f>IF(N1127="sníž. přenesená",J1127,0)</f>
        <v>0</v>
      </c>
      <c r="BI1127" s="2194">
        <f>IF(N1127="nulová",J1127,0)</f>
        <v>0</v>
      </c>
      <c r="BJ1127" s="2056" t="s">
        <v>134</v>
      </c>
      <c r="BK1127" s="2194">
        <f>ROUND(I1127*H1127,2)</f>
        <v>0</v>
      </c>
      <c r="BL1127" s="2056" t="s">
        <v>2894</v>
      </c>
      <c r="BM1127" s="2193" t="s">
        <v>10995</v>
      </c>
    </row>
    <row r="1128" spans="2:65" s="2209" customFormat="1">
      <c r="B1128" s="2210"/>
      <c r="D1128" s="2197" t="s">
        <v>3303</v>
      </c>
      <c r="E1128" s="2211" t="s">
        <v>3146</v>
      </c>
      <c r="F1128" s="2212" t="s">
        <v>2756</v>
      </c>
      <c r="H1128" s="2213">
        <v>58</v>
      </c>
      <c r="L1128" s="2210"/>
      <c r="M1128" s="2214"/>
      <c r="T1128" s="2215"/>
      <c r="AT1128" s="2211" t="s">
        <v>3303</v>
      </c>
      <c r="AU1128" s="2211" t="s">
        <v>134</v>
      </c>
      <c r="AV1128" s="2209" t="s">
        <v>134</v>
      </c>
      <c r="AW1128" s="2209" t="s">
        <v>3171</v>
      </c>
      <c r="AX1128" s="2209" t="s">
        <v>133</v>
      </c>
      <c r="AY1128" s="2211" t="s">
        <v>3285</v>
      </c>
    </row>
    <row r="1129" spans="2:65" s="2070" customFormat="1" ht="16.5" customHeight="1">
      <c r="B1129" s="2164"/>
      <c r="C1129" s="4608" t="s">
        <v>5671</v>
      </c>
      <c r="D1129" s="4608" t="s">
        <v>3286</v>
      </c>
      <c r="E1129" s="4609" t="s">
        <v>10996</v>
      </c>
      <c r="F1129" s="4610" t="s">
        <v>10997</v>
      </c>
      <c r="G1129" s="4611" t="s">
        <v>611</v>
      </c>
      <c r="H1129" s="4612">
        <v>265.66000000000003</v>
      </c>
      <c r="I1129" s="4613"/>
      <c r="J1129" s="4613">
        <f>ROUND(I1129*H1129,2)</f>
        <v>0</v>
      </c>
      <c r="K1129" s="4610" t="s">
        <v>142</v>
      </c>
      <c r="L1129" s="2071"/>
      <c r="M1129" s="2190" t="s">
        <v>3146</v>
      </c>
      <c r="N1129" s="2163" t="s">
        <v>3181</v>
      </c>
      <c r="O1129" s="2191">
        <v>0.23699999999999999</v>
      </c>
      <c r="P1129" s="2191">
        <f>O1129*H1129</f>
        <v>62.961420000000004</v>
      </c>
      <c r="Q1129" s="2191">
        <v>9.7999999999999997E-4</v>
      </c>
      <c r="R1129" s="2191">
        <f>Q1129*H1129</f>
        <v>0.26034679999999999</v>
      </c>
      <c r="S1129" s="2191">
        <v>0</v>
      </c>
      <c r="T1129" s="2192">
        <f>S1129*H1129</f>
        <v>0</v>
      </c>
      <c r="AR1129" s="2193" t="s">
        <v>2894</v>
      </c>
      <c r="AT1129" s="2193" t="s">
        <v>3286</v>
      </c>
      <c r="AU1129" s="2193" t="s">
        <v>134</v>
      </c>
      <c r="AY1129" s="2056" t="s">
        <v>3285</v>
      </c>
      <c r="BE1129" s="2194">
        <f>IF(N1129="základní",J1129,0)</f>
        <v>0</v>
      </c>
      <c r="BF1129" s="2194">
        <f>IF(N1129="snížená",J1129,0)</f>
        <v>0</v>
      </c>
      <c r="BG1129" s="2194">
        <f>IF(N1129="zákl. přenesená",J1129,0)</f>
        <v>0</v>
      </c>
      <c r="BH1129" s="2194">
        <f>IF(N1129="sníž. přenesená",J1129,0)</f>
        <v>0</v>
      </c>
      <c r="BI1129" s="2194">
        <f>IF(N1129="nulová",J1129,0)</f>
        <v>0</v>
      </c>
      <c r="BJ1129" s="2056" t="s">
        <v>134</v>
      </c>
      <c r="BK1129" s="2194">
        <f>ROUND(I1129*H1129,2)</f>
        <v>0</v>
      </c>
      <c r="BL1129" s="2056" t="s">
        <v>2894</v>
      </c>
      <c r="BM1129" s="2193" t="s">
        <v>4170</v>
      </c>
    </row>
    <row r="1130" spans="2:65" s="2195" customFormat="1">
      <c r="B1130" s="2196"/>
      <c r="D1130" s="2197" t="s">
        <v>3303</v>
      </c>
      <c r="E1130" s="2198" t="s">
        <v>3146</v>
      </c>
      <c r="F1130" s="2199" t="s">
        <v>3517</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4171</v>
      </c>
      <c r="H1131" s="2213">
        <v>74.281000000000006</v>
      </c>
      <c r="L1131" s="2210"/>
      <c r="M1131" s="2214"/>
      <c r="T1131" s="2215"/>
      <c r="AT1131" s="2211" t="s">
        <v>3303</v>
      </c>
      <c r="AU1131" s="2211" t="s">
        <v>134</v>
      </c>
      <c r="AV1131" s="2209" t="s">
        <v>134</v>
      </c>
      <c r="AW1131" s="2209" t="s">
        <v>3171</v>
      </c>
      <c r="AX1131" s="2209" t="s">
        <v>3213</v>
      </c>
      <c r="AY1131" s="2211" t="s">
        <v>3285</v>
      </c>
    </row>
    <row r="1132" spans="2:65" s="2195" customFormat="1">
      <c r="B1132" s="2196"/>
      <c r="D1132" s="2197" t="s">
        <v>3303</v>
      </c>
      <c r="E1132" s="2198" t="s">
        <v>3146</v>
      </c>
      <c r="F1132" s="2199" t="s">
        <v>3661</v>
      </c>
      <c r="H1132" s="2198" t="s">
        <v>3146</v>
      </c>
      <c r="L1132" s="2196"/>
      <c r="M1132" s="2200"/>
      <c r="T1132" s="2201"/>
      <c r="AT1132" s="2198" t="s">
        <v>3303</v>
      </c>
      <c r="AU1132" s="2198" t="s">
        <v>134</v>
      </c>
      <c r="AV1132" s="2195" t="s">
        <v>133</v>
      </c>
      <c r="AW1132" s="2195" t="s">
        <v>3171</v>
      </c>
      <c r="AX1132" s="2195" t="s">
        <v>3213</v>
      </c>
      <c r="AY1132" s="2198" t="s">
        <v>3285</v>
      </c>
    </row>
    <row r="1133" spans="2:65" s="2209" customFormat="1">
      <c r="B1133" s="2210"/>
      <c r="D1133" s="2197" t="s">
        <v>3303</v>
      </c>
      <c r="E1133" s="2211" t="s">
        <v>3146</v>
      </c>
      <c r="F1133" s="2212" t="s">
        <v>4172</v>
      </c>
      <c r="H1133" s="2213">
        <v>64.021000000000001</v>
      </c>
      <c r="L1133" s="2210"/>
      <c r="M1133" s="2214"/>
      <c r="T1133" s="2215"/>
      <c r="AT1133" s="2211" t="s">
        <v>3303</v>
      </c>
      <c r="AU1133" s="2211" t="s">
        <v>134</v>
      </c>
      <c r="AV1133" s="2209" t="s">
        <v>134</v>
      </c>
      <c r="AW1133" s="2209" t="s">
        <v>3171</v>
      </c>
      <c r="AX1133" s="2209" t="s">
        <v>3213</v>
      </c>
      <c r="AY1133" s="2211" t="s">
        <v>3285</v>
      </c>
    </row>
    <row r="1134" spans="2:65" s="2195" customFormat="1">
      <c r="B1134" s="2196"/>
      <c r="D1134" s="2197" t="s">
        <v>3303</v>
      </c>
      <c r="E1134" s="2198" t="s">
        <v>3146</v>
      </c>
      <c r="F1134" s="2199" t="s">
        <v>3578</v>
      </c>
      <c r="H1134" s="2198" t="s">
        <v>3146</v>
      </c>
      <c r="L1134" s="2196"/>
      <c r="M1134" s="2200"/>
      <c r="T1134" s="2201"/>
      <c r="AT1134" s="2198" t="s">
        <v>3303</v>
      </c>
      <c r="AU1134" s="2198" t="s">
        <v>134</v>
      </c>
      <c r="AV1134" s="2195" t="s">
        <v>133</v>
      </c>
      <c r="AW1134" s="2195" t="s">
        <v>3171</v>
      </c>
      <c r="AX1134" s="2195" t="s">
        <v>3213</v>
      </c>
      <c r="AY1134" s="2198" t="s">
        <v>3285</v>
      </c>
    </row>
    <row r="1135" spans="2:65" s="2209" customFormat="1">
      <c r="B1135" s="2210"/>
      <c r="D1135" s="2197" t="s">
        <v>3303</v>
      </c>
      <c r="E1135" s="2211" t="s">
        <v>3146</v>
      </c>
      <c r="F1135" s="2212" t="s">
        <v>4172</v>
      </c>
      <c r="H1135" s="2213">
        <v>64.021000000000001</v>
      </c>
      <c r="L1135" s="2210"/>
      <c r="M1135" s="2214"/>
      <c r="T1135" s="2215"/>
      <c r="AT1135" s="2211" t="s">
        <v>3303</v>
      </c>
      <c r="AU1135" s="2211" t="s">
        <v>134</v>
      </c>
      <c r="AV1135" s="2209" t="s">
        <v>134</v>
      </c>
      <c r="AW1135" s="2209" t="s">
        <v>3171</v>
      </c>
      <c r="AX1135" s="2209" t="s">
        <v>3213</v>
      </c>
      <c r="AY1135" s="2211" t="s">
        <v>3285</v>
      </c>
    </row>
    <row r="1136" spans="2:65" s="2195" customFormat="1">
      <c r="B1136" s="2196"/>
      <c r="D1136" s="2197" t="s">
        <v>3303</v>
      </c>
      <c r="E1136" s="2198" t="s">
        <v>3146</v>
      </c>
      <c r="F1136" s="2199" t="s">
        <v>3580</v>
      </c>
      <c r="H1136" s="2198" t="s">
        <v>3146</v>
      </c>
      <c r="L1136" s="2196"/>
      <c r="M1136" s="2200"/>
      <c r="T1136" s="2201"/>
      <c r="AT1136" s="2198" t="s">
        <v>3303</v>
      </c>
      <c r="AU1136" s="2198" t="s">
        <v>134</v>
      </c>
      <c r="AV1136" s="2195" t="s">
        <v>133</v>
      </c>
      <c r="AW1136" s="2195" t="s">
        <v>3171</v>
      </c>
      <c r="AX1136" s="2195" t="s">
        <v>3213</v>
      </c>
      <c r="AY1136" s="2198" t="s">
        <v>3285</v>
      </c>
    </row>
    <row r="1137" spans="2:65" s="2209" customFormat="1">
      <c r="B1137" s="2210"/>
      <c r="D1137" s="2197" t="s">
        <v>3303</v>
      </c>
      <c r="E1137" s="2211" t="s">
        <v>3146</v>
      </c>
      <c r="F1137" s="2212" t="s">
        <v>10998</v>
      </c>
      <c r="H1137" s="2213">
        <v>63.337000000000003</v>
      </c>
      <c r="L1137" s="2210"/>
      <c r="M1137" s="2214"/>
      <c r="T1137" s="2215"/>
      <c r="AT1137" s="2211" t="s">
        <v>3303</v>
      </c>
      <c r="AU1137" s="2211" t="s">
        <v>134</v>
      </c>
      <c r="AV1137" s="2209" t="s">
        <v>134</v>
      </c>
      <c r="AW1137" s="2209" t="s">
        <v>3171</v>
      </c>
      <c r="AX1137" s="2209" t="s">
        <v>3213</v>
      </c>
      <c r="AY1137" s="2211" t="s">
        <v>3285</v>
      </c>
    </row>
    <row r="1138" spans="2:65" s="2216" customFormat="1">
      <c r="B1138" s="2217"/>
      <c r="D1138" s="2197" t="s">
        <v>3303</v>
      </c>
      <c r="E1138" s="2218" t="s">
        <v>3146</v>
      </c>
      <c r="F1138" s="2219" t="s">
        <v>3306</v>
      </c>
      <c r="H1138" s="2220">
        <v>265.66000000000003</v>
      </c>
      <c r="L1138" s="2217"/>
      <c r="M1138" s="2221"/>
      <c r="T1138" s="2222"/>
      <c r="AT1138" s="2218" t="s">
        <v>3303</v>
      </c>
      <c r="AU1138" s="2218" t="s">
        <v>134</v>
      </c>
      <c r="AV1138" s="2216" t="s">
        <v>856</v>
      </c>
      <c r="AW1138" s="2216" t="s">
        <v>3171</v>
      </c>
      <c r="AX1138" s="2216" t="s">
        <v>133</v>
      </c>
      <c r="AY1138" s="2218" t="s">
        <v>3285</v>
      </c>
    </row>
    <row r="1139" spans="2:65" s="2178" customFormat="1" ht="22.9" customHeight="1">
      <c r="B1139" s="2179"/>
      <c r="D1139" s="2180" t="s">
        <v>3212</v>
      </c>
      <c r="E1139" s="2188" t="s">
        <v>4173</v>
      </c>
      <c r="F1139" s="2188" t="s">
        <v>4174</v>
      </c>
      <c r="J1139" s="2189">
        <f>BK1139</f>
        <v>0</v>
      </c>
      <c r="L1139" s="2179"/>
      <c r="M1139" s="2183"/>
      <c r="P1139" s="2184">
        <f>SUM(P1140:P1157)</f>
        <v>1165.0361600000001</v>
      </c>
      <c r="R1139" s="2184">
        <f>SUM(R1140:R1157)</f>
        <v>11.286287799999998</v>
      </c>
      <c r="T1139" s="2185">
        <f>SUM(T1140:T1157)</f>
        <v>0</v>
      </c>
      <c r="AR1139" s="2180" t="s">
        <v>134</v>
      </c>
      <c r="AT1139" s="2186" t="s">
        <v>3212</v>
      </c>
      <c r="AU1139" s="2186" t="s">
        <v>133</v>
      </c>
      <c r="AY1139" s="2180" t="s">
        <v>3285</v>
      </c>
      <c r="BK1139" s="2187">
        <f>SUM(BK1140:BK1157)</f>
        <v>0</v>
      </c>
    </row>
    <row r="1140" spans="2:65" s="2070" customFormat="1" ht="21.75" customHeight="1">
      <c r="B1140" s="2164"/>
      <c r="C1140" s="4608" t="s">
        <v>5075</v>
      </c>
      <c r="D1140" s="4608" t="s">
        <v>3286</v>
      </c>
      <c r="E1140" s="4609" t="s">
        <v>4176</v>
      </c>
      <c r="F1140" s="4610" t="s">
        <v>4177</v>
      </c>
      <c r="G1140" s="4611" t="s">
        <v>611</v>
      </c>
      <c r="H1140" s="4612">
        <v>9101.8449999999993</v>
      </c>
      <c r="I1140" s="4613"/>
      <c r="J1140" s="4613">
        <f>ROUND(I1140*H1140,2)</f>
        <v>0</v>
      </c>
      <c r="K1140" s="4610" t="s">
        <v>142</v>
      </c>
      <c r="L1140" s="2071"/>
      <c r="M1140" s="2190" t="s">
        <v>3146</v>
      </c>
      <c r="N1140" s="2163" t="s">
        <v>3181</v>
      </c>
      <c r="O1140" s="2191">
        <v>3.1E-2</v>
      </c>
      <c r="P1140" s="2191">
        <f>O1140*H1140</f>
        <v>282.157195</v>
      </c>
      <c r="Q1140" s="2191">
        <v>2.1000000000000001E-4</v>
      </c>
      <c r="R1140" s="2191">
        <f>Q1140*H1140</f>
        <v>1.9113874499999999</v>
      </c>
      <c r="S1140" s="2191">
        <v>0</v>
      </c>
      <c r="T1140" s="2192">
        <f>S1140*H1140</f>
        <v>0</v>
      </c>
      <c r="AR1140" s="2193" t="s">
        <v>2894</v>
      </c>
      <c r="AT1140" s="2193" t="s">
        <v>3286</v>
      </c>
      <c r="AU1140" s="2193" t="s">
        <v>134</v>
      </c>
      <c r="AY1140" s="2056" t="s">
        <v>3285</v>
      </c>
      <c r="BE1140" s="2194">
        <f>IF(N1140="základní",J1140,0)</f>
        <v>0</v>
      </c>
      <c r="BF1140" s="2194">
        <f>IF(N1140="snížená",J1140,0)</f>
        <v>0</v>
      </c>
      <c r="BG1140" s="2194">
        <f>IF(N1140="zákl. přenesená",J1140,0)</f>
        <v>0</v>
      </c>
      <c r="BH1140" s="2194">
        <f>IF(N1140="sníž. přenesená",J1140,0)</f>
        <v>0</v>
      </c>
      <c r="BI1140" s="2194">
        <f>IF(N1140="nulová",J1140,0)</f>
        <v>0</v>
      </c>
      <c r="BJ1140" s="2056" t="s">
        <v>134</v>
      </c>
      <c r="BK1140" s="2194">
        <f>ROUND(I1140*H1140,2)</f>
        <v>0</v>
      </c>
      <c r="BL1140" s="2056" t="s">
        <v>2894</v>
      </c>
      <c r="BM1140" s="2193" t="s">
        <v>4178</v>
      </c>
    </row>
    <row r="1141" spans="2:65" s="2070" customFormat="1" ht="24.2" customHeight="1">
      <c r="B1141" s="2164"/>
      <c r="C1141" s="4608" t="s">
        <v>4603</v>
      </c>
      <c r="D1141" s="4608" t="s">
        <v>3286</v>
      </c>
      <c r="E1141" s="4609" t="s">
        <v>4180</v>
      </c>
      <c r="F1141" s="4610" t="s">
        <v>4181</v>
      </c>
      <c r="G1141" s="4611" t="s">
        <v>611</v>
      </c>
      <c r="H1141" s="4612">
        <v>9101.8449999999993</v>
      </c>
      <c r="I1141" s="4613"/>
      <c r="J1141" s="4613">
        <f>ROUND(I1141*H1141,2)</f>
        <v>0</v>
      </c>
      <c r="K1141" s="4610" t="s">
        <v>142</v>
      </c>
      <c r="L1141" s="2071"/>
      <c r="M1141" s="2190" t="s">
        <v>3146</v>
      </c>
      <c r="N1141" s="2163" t="s">
        <v>3181</v>
      </c>
      <c r="O1141" s="2191">
        <v>3.3000000000000002E-2</v>
      </c>
      <c r="P1141" s="2191">
        <f>O1141*H1141</f>
        <v>300.360885</v>
      </c>
      <c r="Q1141" s="2191">
        <v>7.3999999999999999E-4</v>
      </c>
      <c r="R1141" s="2191">
        <f>Q1141*H1141</f>
        <v>6.7353652999999998</v>
      </c>
      <c r="S1141" s="2191">
        <v>0</v>
      </c>
      <c r="T1141" s="2192">
        <f>S1141*H1141</f>
        <v>0</v>
      </c>
      <c r="AR1141" s="2193" t="s">
        <v>2894</v>
      </c>
      <c r="AT1141" s="2193" t="s">
        <v>3286</v>
      </c>
      <c r="AU1141" s="2193" t="s">
        <v>134</v>
      </c>
      <c r="AY1141" s="2056" t="s">
        <v>3285</v>
      </c>
      <c r="BE1141" s="2194">
        <f>IF(N1141="základní",J1141,0)</f>
        <v>0</v>
      </c>
      <c r="BF1141" s="2194">
        <f>IF(N1141="snížená",J1141,0)</f>
        <v>0</v>
      </c>
      <c r="BG1141" s="2194">
        <f>IF(N1141="zákl. přenesená",J1141,0)</f>
        <v>0</v>
      </c>
      <c r="BH1141" s="2194">
        <f>IF(N1141="sníž. přenesená",J1141,0)</f>
        <v>0</v>
      </c>
      <c r="BI1141" s="2194">
        <f>IF(N1141="nulová",J1141,0)</f>
        <v>0</v>
      </c>
      <c r="BJ1141" s="2056" t="s">
        <v>134</v>
      </c>
      <c r="BK1141" s="2194">
        <f>ROUND(I1141*H1141,2)</f>
        <v>0</v>
      </c>
      <c r="BL1141" s="2056" t="s">
        <v>2894</v>
      </c>
      <c r="BM1141" s="2193" t="s">
        <v>4182</v>
      </c>
    </row>
    <row r="1142" spans="2:65" s="2195" customFormat="1">
      <c r="B1142" s="2196"/>
      <c r="D1142" s="2197" t="s">
        <v>3303</v>
      </c>
      <c r="E1142" s="2198" t="s">
        <v>3146</v>
      </c>
      <c r="F1142" s="2199" t="s">
        <v>3517</v>
      </c>
      <c r="H1142" s="2198" t="s">
        <v>3146</v>
      </c>
      <c r="L1142" s="2196"/>
      <c r="M1142" s="2200"/>
      <c r="T1142" s="2201"/>
      <c r="AT1142" s="2198" t="s">
        <v>3303</v>
      </c>
      <c r="AU1142" s="2198" t="s">
        <v>134</v>
      </c>
      <c r="AV1142" s="2195" t="s">
        <v>133</v>
      </c>
      <c r="AW1142" s="2195" t="s">
        <v>3171</v>
      </c>
      <c r="AX1142" s="2195" t="s">
        <v>3213</v>
      </c>
      <c r="AY1142" s="2198" t="s">
        <v>3285</v>
      </c>
    </row>
    <row r="1143" spans="2:65" s="2209" customFormat="1">
      <c r="B1143" s="2210"/>
      <c r="D1143" s="2197" t="s">
        <v>3303</v>
      </c>
      <c r="E1143" s="2211" t="s">
        <v>3146</v>
      </c>
      <c r="F1143" s="2212" t="s">
        <v>4183</v>
      </c>
      <c r="H1143" s="2213">
        <v>2116.9560000000001</v>
      </c>
      <c r="L1143" s="2210"/>
      <c r="M1143" s="2214"/>
      <c r="T1143" s="2215"/>
      <c r="AT1143" s="2211" t="s">
        <v>3303</v>
      </c>
      <c r="AU1143" s="2211" t="s">
        <v>134</v>
      </c>
      <c r="AV1143" s="2209" t="s">
        <v>134</v>
      </c>
      <c r="AW1143" s="2209" t="s">
        <v>3171</v>
      </c>
      <c r="AX1143" s="2209" t="s">
        <v>3213</v>
      </c>
      <c r="AY1143" s="2211" t="s">
        <v>3285</v>
      </c>
    </row>
    <row r="1144" spans="2:65" s="2195" customFormat="1">
      <c r="B1144" s="2196"/>
      <c r="D1144" s="2197" t="s">
        <v>3303</v>
      </c>
      <c r="E1144" s="2198" t="s">
        <v>3146</v>
      </c>
      <c r="F1144" s="2199" t="s">
        <v>3661</v>
      </c>
      <c r="H1144" s="2198" t="s">
        <v>3146</v>
      </c>
      <c r="L1144" s="2196"/>
      <c r="M1144" s="2200"/>
      <c r="T1144" s="2201"/>
      <c r="AT1144" s="2198" t="s">
        <v>3303</v>
      </c>
      <c r="AU1144" s="2198" t="s">
        <v>134</v>
      </c>
      <c r="AV1144" s="2195" t="s">
        <v>133</v>
      </c>
      <c r="AW1144" s="2195" t="s">
        <v>3171</v>
      </c>
      <c r="AX1144" s="2195" t="s">
        <v>3213</v>
      </c>
      <c r="AY1144" s="2198" t="s">
        <v>3285</v>
      </c>
    </row>
    <row r="1145" spans="2:65" s="2209" customFormat="1">
      <c r="B1145" s="2210"/>
      <c r="D1145" s="2197" t="s">
        <v>3303</v>
      </c>
      <c r="E1145" s="2211" t="s">
        <v>3146</v>
      </c>
      <c r="F1145" s="2212" t="s">
        <v>4184</v>
      </c>
      <c r="H1145" s="2213">
        <v>1789.9469999999999</v>
      </c>
      <c r="L1145" s="2210"/>
      <c r="M1145" s="2214"/>
      <c r="T1145" s="2215"/>
      <c r="AT1145" s="2211" t="s">
        <v>3303</v>
      </c>
      <c r="AU1145" s="2211" t="s">
        <v>134</v>
      </c>
      <c r="AV1145" s="2209" t="s">
        <v>134</v>
      </c>
      <c r="AW1145" s="2209" t="s">
        <v>3171</v>
      </c>
      <c r="AX1145" s="2209" t="s">
        <v>3213</v>
      </c>
      <c r="AY1145" s="2211" t="s">
        <v>3285</v>
      </c>
    </row>
    <row r="1146" spans="2:65" s="2195" customFormat="1">
      <c r="B1146" s="2196"/>
      <c r="D1146" s="2197" t="s">
        <v>3303</v>
      </c>
      <c r="E1146" s="2198" t="s">
        <v>3146</v>
      </c>
      <c r="F1146" s="2199" t="s">
        <v>3578</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4185</v>
      </c>
      <c r="H1147" s="2213">
        <v>2099.7150000000001</v>
      </c>
      <c r="L1147" s="2210"/>
      <c r="M1147" s="2214"/>
      <c r="T1147" s="2215"/>
      <c r="AT1147" s="2211" t="s">
        <v>3303</v>
      </c>
      <c r="AU1147" s="2211" t="s">
        <v>134</v>
      </c>
      <c r="AV1147" s="2209" t="s">
        <v>134</v>
      </c>
      <c r="AW1147" s="2209" t="s">
        <v>3171</v>
      </c>
      <c r="AX1147" s="2209" t="s">
        <v>3213</v>
      </c>
      <c r="AY1147" s="2211" t="s">
        <v>3285</v>
      </c>
    </row>
    <row r="1148" spans="2:65" s="2195" customFormat="1">
      <c r="B1148" s="2196"/>
      <c r="D1148" s="2197" t="s">
        <v>3303</v>
      </c>
      <c r="E1148" s="2198" t="s">
        <v>3146</v>
      </c>
      <c r="F1148" s="2199" t="s">
        <v>3580</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4186</v>
      </c>
      <c r="H1149" s="2213">
        <v>1969.424</v>
      </c>
      <c r="L1149" s="2210"/>
      <c r="M1149" s="2214"/>
      <c r="T1149" s="2215"/>
      <c r="AT1149" s="2211" t="s">
        <v>3303</v>
      </c>
      <c r="AU1149" s="2211" t="s">
        <v>134</v>
      </c>
      <c r="AV1149" s="2209" t="s">
        <v>134</v>
      </c>
      <c r="AW1149" s="2209" t="s">
        <v>3171</v>
      </c>
      <c r="AX1149" s="2209" t="s">
        <v>3213</v>
      </c>
      <c r="AY1149" s="2211" t="s">
        <v>3285</v>
      </c>
    </row>
    <row r="1150" spans="2:65" s="2202" customFormat="1">
      <c r="B1150" s="2203"/>
      <c r="D1150" s="2197" t="s">
        <v>3303</v>
      </c>
      <c r="E1150" s="2204" t="s">
        <v>3146</v>
      </c>
      <c r="F1150" s="2205" t="s">
        <v>3305</v>
      </c>
      <c r="H1150" s="2206">
        <v>7976.0420000000004</v>
      </c>
      <c r="L1150" s="2203"/>
      <c r="M1150" s="2207"/>
      <c r="T1150" s="2208"/>
      <c r="AT1150" s="2204" t="s">
        <v>3303</v>
      </c>
      <c r="AU1150" s="2204" t="s">
        <v>134</v>
      </c>
      <c r="AV1150" s="2202" t="s">
        <v>854</v>
      </c>
      <c r="AW1150" s="2202" t="s">
        <v>3171</v>
      </c>
      <c r="AX1150" s="2202" t="s">
        <v>3213</v>
      </c>
      <c r="AY1150" s="2204" t="s">
        <v>3285</v>
      </c>
    </row>
    <row r="1151" spans="2:65" s="2209" customFormat="1">
      <c r="B1151" s="2210"/>
      <c r="D1151" s="2197" t="s">
        <v>3303</v>
      </c>
      <c r="E1151" s="2211" t="s">
        <v>3146</v>
      </c>
      <c r="F1151" s="2212" t="s">
        <v>4187</v>
      </c>
      <c r="H1151" s="2213">
        <v>294.85599999999999</v>
      </c>
      <c r="L1151" s="2210"/>
      <c r="M1151" s="2214"/>
      <c r="T1151" s="2215"/>
      <c r="AT1151" s="2211" t="s">
        <v>3303</v>
      </c>
      <c r="AU1151" s="2211" t="s">
        <v>134</v>
      </c>
      <c r="AV1151" s="2209" t="s">
        <v>134</v>
      </c>
      <c r="AW1151" s="2209" t="s">
        <v>3171</v>
      </c>
      <c r="AX1151" s="2209" t="s">
        <v>3213</v>
      </c>
      <c r="AY1151" s="2211" t="s">
        <v>3285</v>
      </c>
    </row>
    <row r="1152" spans="2:65" s="2209" customFormat="1">
      <c r="B1152" s="2210"/>
      <c r="D1152" s="2197" t="s">
        <v>3303</v>
      </c>
      <c r="E1152" s="2211" t="s">
        <v>3146</v>
      </c>
      <c r="F1152" s="2212" t="s">
        <v>4188</v>
      </c>
      <c r="H1152" s="2213">
        <v>272.78199999999998</v>
      </c>
      <c r="L1152" s="2210"/>
      <c r="M1152" s="2214"/>
      <c r="T1152" s="2215"/>
      <c r="AT1152" s="2211" t="s">
        <v>3303</v>
      </c>
      <c r="AU1152" s="2211" t="s">
        <v>134</v>
      </c>
      <c r="AV1152" s="2209" t="s">
        <v>134</v>
      </c>
      <c r="AW1152" s="2209" t="s">
        <v>3171</v>
      </c>
      <c r="AX1152" s="2209" t="s">
        <v>3213</v>
      </c>
      <c r="AY1152" s="2211" t="s">
        <v>3285</v>
      </c>
    </row>
    <row r="1153" spans="2:65" s="2209" customFormat="1">
      <c r="B1153" s="2210"/>
      <c r="D1153" s="2197" t="s">
        <v>3303</v>
      </c>
      <c r="E1153" s="2211" t="s">
        <v>3146</v>
      </c>
      <c r="F1153" s="2212" t="s">
        <v>3660</v>
      </c>
      <c r="H1153" s="2213">
        <v>440.01100000000002</v>
      </c>
      <c r="L1153" s="2210"/>
      <c r="M1153" s="2214"/>
      <c r="T1153" s="2215"/>
      <c r="AT1153" s="2211" t="s">
        <v>3303</v>
      </c>
      <c r="AU1153" s="2211" t="s">
        <v>134</v>
      </c>
      <c r="AV1153" s="2209" t="s">
        <v>134</v>
      </c>
      <c r="AW1153" s="2209" t="s">
        <v>3171</v>
      </c>
      <c r="AX1153" s="2209" t="s">
        <v>3213</v>
      </c>
      <c r="AY1153" s="2211" t="s">
        <v>3285</v>
      </c>
    </row>
    <row r="1154" spans="2:65" s="2209" customFormat="1">
      <c r="B1154" s="2210"/>
      <c r="D1154" s="2197" t="s">
        <v>3303</v>
      </c>
      <c r="E1154" s="2211" t="s">
        <v>3146</v>
      </c>
      <c r="F1154" s="2212" t="s">
        <v>4189</v>
      </c>
      <c r="H1154" s="2213">
        <v>118.154</v>
      </c>
      <c r="L1154" s="2210"/>
      <c r="M1154" s="2214"/>
      <c r="T1154" s="2215"/>
      <c r="AT1154" s="2211" t="s">
        <v>3303</v>
      </c>
      <c r="AU1154" s="2211" t="s">
        <v>134</v>
      </c>
      <c r="AV1154" s="2209" t="s">
        <v>134</v>
      </c>
      <c r="AW1154" s="2209" t="s">
        <v>3171</v>
      </c>
      <c r="AX1154" s="2209" t="s">
        <v>3213</v>
      </c>
      <c r="AY1154" s="2211" t="s">
        <v>3285</v>
      </c>
    </row>
    <row r="1155" spans="2:65" s="2202" customFormat="1">
      <c r="B1155" s="2203"/>
      <c r="D1155" s="2197" t="s">
        <v>3303</v>
      </c>
      <c r="E1155" s="2204" t="s">
        <v>3146</v>
      </c>
      <c r="F1155" s="2205" t="s">
        <v>3305</v>
      </c>
      <c r="H1155" s="2206">
        <v>1125.8030000000001</v>
      </c>
      <c r="L1155" s="2203"/>
      <c r="M1155" s="2207"/>
      <c r="T1155" s="2208"/>
      <c r="AT1155" s="2204" t="s">
        <v>3303</v>
      </c>
      <c r="AU1155" s="2204" t="s">
        <v>134</v>
      </c>
      <c r="AV1155" s="2202" t="s">
        <v>854</v>
      </c>
      <c r="AW1155" s="2202" t="s">
        <v>3171</v>
      </c>
      <c r="AX1155" s="2202" t="s">
        <v>3213</v>
      </c>
      <c r="AY1155" s="2204" t="s">
        <v>3285</v>
      </c>
    </row>
    <row r="1156" spans="2:65" s="2216" customFormat="1">
      <c r="B1156" s="2217"/>
      <c r="D1156" s="2197" t="s">
        <v>3303</v>
      </c>
      <c r="E1156" s="2218" t="s">
        <v>3146</v>
      </c>
      <c r="F1156" s="2219" t="s">
        <v>3306</v>
      </c>
      <c r="H1156" s="2220">
        <v>9101.8449999999993</v>
      </c>
      <c r="L1156" s="2217"/>
      <c r="M1156" s="2221"/>
      <c r="T1156" s="2222"/>
      <c r="AT1156" s="2218" t="s">
        <v>3303</v>
      </c>
      <c r="AU1156" s="2218" t="s">
        <v>134</v>
      </c>
      <c r="AV1156" s="2216" t="s">
        <v>856</v>
      </c>
      <c r="AW1156" s="2216" t="s">
        <v>3171</v>
      </c>
      <c r="AX1156" s="2216" t="s">
        <v>133</v>
      </c>
      <c r="AY1156" s="2218" t="s">
        <v>3285</v>
      </c>
    </row>
    <row r="1157" spans="2:65" s="2070" customFormat="1" ht="24.2" customHeight="1">
      <c r="B1157" s="2164"/>
      <c r="C1157" s="4608" t="s">
        <v>4608</v>
      </c>
      <c r="D1157" s="4608" t="s">
        <v>3286</v>
      </c>
      <c r="E1157" s="4609" t="s">
        <v>4191</v>
      </c>
      <c r="F1157" s="4610" t="s">
        <v>4192</v>
      </c>
      <c r="G1157" s="4611" t="s">
        <v>611</v>
      </c>
      <c r="H1157" s="4612">
        <v>9101.8449999999993</v>
      </c>
      <c r="I1157" s="4613"/>
      <c r="J1157" s="4613">
        <f>ROUND(I1157*H1157,2)</f>
        <v>0</v>
      </c>
      <c r="K1157" s="4610" t="s">
        <v>142</v>
      </c>
      <c r="L1157" s="2071"/>
      <c r="M1157" s="2190" t="s">
        <v>3146</v>
      </c>
      <c r="N1157" s="2163" t="s">
        <v>3181</v>
      </c>
      <c r="O1157" s="2191">
        <v>6.4000000000000001E-2</v>
      </c>
      <c r="P1157" s="2191">
        <f>O1157*H1157</f>
        <v>582.51807999999994</v>
      </c>
      <c r="Q1157" s="2191">
        <v>2.9E-4</v>
      </c>
      <c r="R1157" s="2191">
        <f>Q1157*H1157</f>
        <v>2.6395350499999997</v>
      </c>
      <c r="S1157" s="2191">
        <v>0</v>
      </c>
      <c r="T1157" s="2192">
        <f>S1157*H1157</f>
        <v>0</v>
      </c>
      <c r="AR1157" s="2193" t="s">
        <v>2894</v>
      </c>
      <c r="AT1157" s="2193" t="s">
        <v>3286</v>
      </c>
      <c r="AU1157" s="2193" t="s">
        <v>134</v>
      </c>
      <c r="AY1157" s="2056" t="s">
        <v>3285</v>
      </c>
      <c r="BE1157" s="2194">
        <f>IF(N1157="základní",J1157,0)</f>
        <v>0</v>
      </c>
      <c r="BF1157" s="2194">
        <f>IF(N1157="snížená",J1157,0)</f>
        <v>0</v>
      </c>
      <c r="BG1157" s="2194">
        <f>IF(N1157="zákl. přenesená",J1157,0)</f>
        <v>0</v>
      </c>
      <c r="BH1157" s="2194">
        <f>IF(N1157="sníž. přenesená",J1157,0)</f>
        <v>0</v>
      </c>
      <c r="BI1157" s="2194">
        <f>IF(N1157="nulová",J1157,0)</f>
        <v>0</v>
      </c>
      <c r="BJ1157" s="2056" t="s">
        <v>134</v>
      </c>
      <c r="BK1157" s="2194">
        <f>ROUND(I1157*H1157,2)</f>
        <v>0</v>
      </c>
      <c r="BL1157" s="2056" t="s">
        <v>2894</v>
      </c>
      <c r="BM1157" s="2193" t="s">
        <v>4193</v>
      </c>
    </row>
    <row r="1158" spans="2:65" s="2178" customFormat="1" ht="22.9" customHeight="1">
      <c r="B1158" s="2179"/>
      <c r="D1158" s="2180" t="s">
        <v>3212</v>
      </c>
      <c r="E1158" s="2188" t="s">
        <v>4194</v>
      </c>
      <c r="F1158" s="2188" t="s">
        <v>4195</v>
      </c>
      <c r="J1158" s="2189">
        <f>BK1158</f>
        <v>0</v>
      </c>
      <c r="L1158" s="2179"/>
      <c r="M1158" s="2183"/>
      <c r="P1158" s="2184">
        <f>SUM(P1159:P1177)</f>
        <v>113.82209399999999</v>
      </c>
      <c r="R1158" s="2184">
        <f>SUM(R1159:R1177)</f>
        <v>4.9139300000000004E-3</v>
      </c>
      <c r="T1158" s="2185">
        <f>SUM(T1159:T1177)</f>
        <v>0</v>
      </c>
      <c r="AR1158" s="2180" t="s">
        <v>134</v>
      </c>
      <c r="AT1158" s="2186" t="s">
        <v>3212</v>
      </c>
      <c r="AU1158" s="2186" t="s">
        <v>133</v>
      </c>
      <c r="AY1158" s="2180" t="s">
        <v>3285</v>
      </c>
      <c r="BK1158" s="2187">
        <f>SUM(BK1159:BK1177)</f>
        <v>0</v>
      </c>
    </row>
    <row r="1159" spans="2:65" s="2070" customFormat="1" ht="16.5" customHeight="1">
      <c r="B1159" s="2164"/>
      <c r="C1159" s="4608" t="s">
        <v>4610</v>
      </c>
      <c r="D1159" s="4608" t="s">
        <v>3286</v>
      </c>
      <c r="E1159" s="4609" t="s">
        <v>10999</v>
      </c>
      <c r="F1159" s="4610" t="s">
        <v>11000</v>
      </c>
      <c r="G1159" s="4611" t="s">
        <v>611</v>
      </c>
      <c r="H1159" s="4612">
        <v>315.68700000000001</v>
      </c>
      <c r="I1159" s="4613"/>
      <c r="J1159" s="4613">
        <f>ROUND(I1159*H1159,2)</f>
        <v>0</v>
      </c>
      <c r="K1159" s="4610" t="s">
        <v>3146</v>
      </c>
      <c r="L1159" s="2071"/>
      <c r="M1159" s="2190" t="s">
        <v>3146</v>
      </c>
      <c r="N1159" s="2163" t="s">
        <v>3181</v>
      </c>
      <c r="O1159" s="2191">
        <v>0</v>
      </c>
      <c r="P1159" s="2191">
        <f>O1159*H1159</f>
        <v>0</v>
      </c>
      <c r="Q1159" s="2191">
        <v>0</v>
      </c>
      <c r="R1159" s="2191">
        <f>Q1159*H1159</f>
        <v>0</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11001</v>
      </c>
    </row>
    <row r="1160" spans="2:65" s="2195" customFormat="1">
      <c r="B1160" s="2196"/>
      <c r="D1160" s="2197" t="s">
        <v>3303</v>
      </c>
      <c r="E1160" s="2198" t="s">
        <v>3146</v>
      </c>
      <c r="F1160" s="2199" t="s">
        <v>3661</v>
      </c>
      <c r="H1160" s="2198" t="s">
        <v>3146</v>
      </c>
      <c r="L1160" s="2196"/>
      <c r="M1160" s="2200"/>
      <c r="T1160" s="2201"/>
      <c r="AT1160" s="2198" t="s">
        <v>3303</v>
      </c>
      <c r="AU1160" s="2198" t="s">
        <v>134</v>
      </c>
      <c r="AV1160" s="2195" t="s">
        <v>133</v>
      </c>
      <c r="AW1160" s="2195" t="s">
        <v>3171</v>
      </c>
      <c r="AX1160" s="2195" t="s">
        <v>3213</v>
      </c>
      <c r="AY1160" s="2198" t="s">
        <v>3285</v>
      </c>
    </row>
    <row r="1161" spans="2:65" s="2209" customFormat="1">
      <c r="B1161" s="2210"/>
      <c r="D1161" s="2197" t="s">
        <v>3303</v>
      </c>
      <c r="E1161" s="2211" t="s">
        <v>3146</v>
      </c>
      <c r="F1161" s="2212" t="s">
        <v>11002</v>
      </c>
      <c r="H1161" s="2213">
        <v>76.647999999999996</v>
      </c>
      <c r="L1161" s="2210"/>
      <c r="M1161" s="2214"/>
      <c r="T1161" s="2215"/>
      <c r="AT1161" s="2211" t="s">
        <v>3303</v>
      </c>
      <c r="AU1161" s="2211" t="s">
        <v>134</v>
      </c>
      <c r="AV1161" s="2209" t="s">
        <v>134</v>
      </c>
      <c r="AW1161" s="2209" t="s">
        <v>3171</v>
      </c>
      <c r="AX1161" s="2209" t="s">
        <v>3213</v>
      </c>
      <c r="AY1161" s="2211" t="s">
        <v>3285</v>
      </c>
    </row>
    <row r="1162" spans="2:65" s="2195" customFormat="1">
      <c r="B1162" s="2196"/>
      <c r="D1162" s="2197" t="s">
        <v>3303</v>
      </c>
      <c r="E1162" s="2198" t="s">
        <v>3146</v>
      </c>
      <c r="F1162" s="2199" t="s">
        <v>3578</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2212" t="s">
        <v>11003</v>
      </c>
      <c r="H1163" s="2213">
        <v>112.291</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3580</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2212" t="s">
        <v>11004</v>
      </c>
      <c r="H1165" s="2213">
        <v>126.748</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2220">
        <v>315.68700000000001</v>
      </c>
      <c r="L1166" s="2217"/>
      <c r="M1166" s="2221"/>
      <c r="T1166" s="2222"/>
      <c r="AT1166" s="2218" t="s">
        <v>3303</v>
      </c>
      <c r="AU1166" s="2218" t="s">
        <v>134</v>
      </c>
      <c r="AV1166" s="2216" t="s">
        <v>856</v>
      </c>
      <c r="AW1166" s="2216" t="s">
        <v>3171</v>
      </c>
      <c r="AX1166" s="2216" t="s">
        <v>133</v>
      </c>
      <c r="AY1166" s="2218" t="s">
        <v>3285</v>
      </c>
    </row>
    <row r="1167" spans="2:65" s="2070" customFormat="1" ht="16.5" customHeight="1">
      <c r="B1167" s="2164"/>
      <c r="C1167" s="4608" t="s">
        <v>4614</v>
      </c>
      <c r="D1167" s="4608" t="s">
        <v>3286</v>
      </c>
      <c r="E1167" s="4609" t="s">
        <v>4197</v>
      </c>
      <c r="F1167" s="4610" t="s">
        <v>4198</v>
      </c>
      <c r="G1167" s="4611" t="s">
        <v>611</v>
      </c>
      <c r="H1167" s="4612">
        <v>29.91</v>
      </c>
      <c r="I1167" s="4613"/>
      <c r="J1167" s="4613">
        <f>ROUND(I1167*H1167,2)</f>
        <v>0</v>
      </c>
      <c r="K1167" s="4610" t="s">
        <v>3146</v>
      </c>
      <c r="L1167" s="2071"/>
      <c r="M1167" s="2190" t="s">
        <v>3146</v>
      </c>
      <c r="N1167" s="2163" t="s">
        <v>3181</v>
      </c>
      <c r="O1167" s="2191">
        <v>2.3650000000000002</v>
      </c>
      <c r="P1167" s="2191">
        <f>O1167*H1167</f>
        <v>70.73715</v>
      </c>
      <c r="Q1167" s="2191">
        <v>1.4999999999999999E-4</v>
      </c>
      <c r="R1167" s="2191">
        <f>Q1167*H1167</f>
        <v>4.4865E-3</v>
      </c>
      <c r="S1167" s="2191">
        <v>0</v>
      </c>
      <c r="T1167" s="2192">
        <f>S1167*H1167</f>
        <v>0</v>
      </c>
      <c r="AR1167" s="2193" t="s">
        <v>2894</v>
      </c>
      <c r="AT1167" s="2193" t="s">
        <v>3286</v>
      </c>
      <c r="AU1167" s="2193" t="s">
        <v>134</v>
      </c>
      <c r="AY1167" s="2056" t="s">
        <v>3285</v>
      </c>
      <c r="BE1167" s="2194">
        <f>IF(N1167="základní",J1167,0)</f>
        <v>0</v>
      </c>
      <c r="BF1167" s="2194">
        <f>IF(N1167="snížená",J1167,0)</f>
        <v>0</v>
      </c>
      <c r="BG1167" s="2194">
        <f>IF(N1167="zákl. přenesená",J1167,0)</f>
        <v>0</v>
      </c>
      <c r="BH1167" s="2194">
        <f>IF(N1167="sníž. přenesená",J1167,0)</f>
        <v>0</v>
      </c>
      <c r="BI1167" s="2194">
        <f>IF(N1167="nulová",J1167,0)</f>
        <v>0</v>
      </c>
      <c r="BJ1167" s="2056" t="s">
        <v>134</v>
      </c>
      <c r="BK1167" s="2194">
        <f>ROUND(I1167*H1167,2)</f>
        <v>0</v>
      </c>
      <c r="BL1167" s="2056" t="s">
        <v>2894</v>
      </c>
      <c r="BM1167" s="2193" t="s">
        <v>4199</v>
      </c>
    </row>
    <row r="1168" spans="2:65" s="2195" customFormat="1">
      <c r="B1168" s="2196"/>
      <c r="D1168" s="2197" t="s">
        <v>3303</v>
      </c>
      <c r="E1168" s="2198" t="s">
        <v>3146</v>
      </c>
      <c r="F1168" s="2199" t="s">
        <v>3578</v>
      </c>
      <c r="H1168" s="2198" t="s">
        <v>3146</v>
      </c>
      <c r="L1168" s="2196"/>
      <c r="M1168" s="2200"/>
      <c r="T1168" s="2201"/>
      <c r="AT1168" s="2198" t="s">
        <v>3303</v>
      </c>
      <c r="AU1168" s="2198" t="s">
        <v>134</v>
      </c>
      <c r="AV1168" s="2195" t="s">
        <v>133</v>
      </c>
      <c r="AW1168" s="2195" t="s">
        <v>3171</v>
      </c>
      <c r="AX1168" s="2195" t="s">
        <v>3213</v>
      </c>
      <c r="AY1168" s="2198" t="s">
        <v>3285</v>
      </c>
    </row>
    <row r="1169" spans="2:65" s="2209" customFormat="1">
      <c r="B1169" s="2210"/>
      <c r="D1169" s="2197" t="s">
        <v>3303</v>
      </c>
      <c r="E1169" s="2211" t="s">
        <v>3146</v>
      </c>
      <c r="F1169" s="2212" t="s">
        <v>4200</v>
      </c>
      <c r="H1169" s="2213">
        <v>29.91</v>
      </c>
      <c r="L1169" s="2210"/>
      <c r="M1169" s="2214"/>
      <c r="T1169" s="2215"/>
      <c r="AT1169" s="2211" t="s">
        <v>3303</v>
      </c>
      <c r="AU1169" s="2211" t="s">
        <v>134</v>
      </c>
      <c r="AV1169" s="2209" t="s">
        <v>134</v>
      </c>
      <c r="AW1169" s="2209" t="s">
        <v>3171</v>
      </c>
      <c r="AX1169" s="2209" t="s">
        <v>3213</v>
      </c>
      <c r="AY1169" s="2211" t="s">
        <v>3285</v>
      </c>
    </row>
    <row r="1170" spans="2:65" s="2216" customFormat="1">
      <c r="B1170" s="2217"/>
      <c r="D1170" s="2197" t="s">
        <v>3303</v>
      </c>
      <c r="E1170" s="2218" t="s">
        <v>3146</v>
      </c>
      <c r="F1170" s="2219" t="s">
        <v>3306</v>
      </c>
      <c r="H1170" s="2220">
        <v>29.91</v>
      </c>
      <c r="L1170" s="2217"/>
      <c r="M1170" s="2221"/>
      <c r="T1170" s="2222"/>
      <c r="AT1170" s="2218" t="s">
        <v>3303</v>
      </c>
      <c r="AU1170" s="2218" t="s">
        <v>134</v>
      </c>
      <c r="AV1170" s="2216" t="s">
        <v>856</v>
      </c>
      <c r="AW1170" s="2216" t="s">
        <v>3171</v>
      </c>
      <c r="AX1170" s="2216" t="s">
        <v>133</v>
      </c>
      <c r="AY1170" s="2218" t="s">
        <v>3285</v>
      </c>
    </row>
    <row r="1171" spans="2:65" s="2070" customFormat="1" ht="16.5" customHeight="1">
      <c r="B1171" s="2164"/>
      <c r="C1171" s="4614" t="s">
        <v>5799</v>
      </c>
      <c r="D1171" s="4614" t="s">
        <v>135</v>
      </c>
      <c r="E1171" s="4615" t="s">
        <v>4202</v>
      </c>
      <c r="F1171" s="4616" t="s">
        <v>4203</v>
      </c>
      <c r="G1171" s="4617" t="s">
        <v>611</v>
      </c>
      <c r="H1171" s="4618">
        <v>35.892000000000003</v>
      </c>
      <c r="I1171" s="4619"/>
      <c r="J1171" s="4619">
        <f>ROUND(I1171*H1171,2)</f>
        <v>0</v>
      </c>
      <c r="K1171" s="4616" t="s">
        <v>3146</v>
      </c>
      <c r="L1171" s="2223"/>
      <c r="M1171" s="2224" t="s">
        <v>3146</v>
      </c>
      <c r="N1171" s="2225" t="s">
        <v>3181</v>
      </c>
      <c r="O1171" s="2191">
        <v>0</v>
      </c>
      <c r="P1171" s="2191">
        <f>O1171*H1171</f>
        <v>0</v>
      </c>
      <c r="Q1171" s="2191">
        <v>0</v>
      </c>
      <c r="R1171" s="2191">
        <f>Q1171*H1171</f>
        <v>0</v>
      </c>
      <c r="S1171" s="2191">
        <v>0</v>
      </c>
      <c r="T1171" s="2192">
        <f>S1171*H1171</f>
        <v>0</v>
      </c>
      <c r="AR1171" s="2193" t="s">
        <v>3389</v>
      </c>
      <c r="AT1171" s="2193" t="s">
        <v>135</v>
      </c>
      <c r="AU1171" s="2193" t="s">
        <v>134</v>
      </c>
      <c r="AY1171" s="2056" t="s">
        <v>3285</v>
      </c>
      <c r="BE1171" s="2194">
        <f>IF(N1171="základní",J1171,0)</f>
        <v>0</v>
      </c>
      <c r="BF1171" s="2194">
        <f>IF(N1171="snížená",J1171,0)</f>
        <v>0</v>
      </c>
      <c r="BG1171" s="2194">
        <f>IF(N1171="zákl. přenesená",J1171,0)</f>
        <v>0</v>
      </c>
      <c r="BH1171" s="2194">
        <f>IF(N1171="sníž. přenesená",J1171,0)</f>
        <v>0</v>
      </c>
      <c r="BI1171" s="2194">
        <f>IF(N1171="nulová",J1171,0)</f>
        <v>0</v>
      </c>
      <c r="BJ1171" s="2056" t="s">
        <v>134</v>
      </c>
      <c r="BK1171" s="2194">
        <f>ROUND(I1171*H1171,2)</f>
        <v>0</v>
      </c>
      <c r="BL1171" s="2056" t="s">
        <v>2894</v>
      </c>
      <c r="BM1171" s="2193" t="s">
        <v>4204</v>
      </c>
    </row>
    <row r="1172" spans="2:65" s="2209" customFormat="1">
      <c r="B1172" s="2210"/>
      <c r="D1172" s="2197" t="s">
        <v>3303</v>
      </c>
      <c r="F1172" s="2212" t="s">
        <v>4205</v>
      </c>
      <c r="H1172" s="2213">
        <v>35.892000000000003</v>
      </c>
      <c r="L1172" s="2210"/>
      <c r="M1172" s="2214"/>
      <c r="T1172" s="2215"/>
      <c r="AT1172" s="2211" t="s">
        <v>3303</v>
      </c>
      <c r="AU1172" s="2211" t="s">
        <v>134</v>
      </c>
      <c r="AV1172" s="2209" t="s">
        <v>134</v>
      </c>
      <c r="AW1172" s="2209" t="s">
        <v>3148</v>
      </c>
      <c r="AX1172" s="2209" t="s">
        <v>133</v>
      </c>
      <c r="AY1172" s="2211" t="s">
        <v>3285</v>
      </c>
    </row>
    <row r="1173" spans="2:65" s="2070" customFormat="1" ht="24.2" customHeight="1">
      <c r="B1173" s="2164"/>
      <c r="C1173" s="5561" t="s">
        <v>5071</v>
      </c>
      <c r="D1173" s="4608" t="s">
        <v>3286</v>
      </c>
      <c r="E1173" s="4609" t="s">
        <v>4206</v>
      </c>
      <c r="F1173" s="4610" t="s">
        <v>4207</v>
      </c>
      <c r="G1173" s="4611" t="s">
        <v>611</v>
      </c>
      <c r="H1173" s="4612">
        <v>42.743000000000002</v>
      </c>
      <c r="I1173" s="5874" t="s">
        <v>11555</v>
      </c>
      <c r="J1173" s="5875"/>
      <c r="K1173" s="4610" t="s">
        <v>3146</v>
      </c>
      <c r="L1173" s="2071"/>
      <c r="M1173" s="2190" t="s">
        <v>3146</v>
      </c>
      <c r="N1173" s="2163" t="s">
        <v>3181</v>
      </c>
      <c r="O1173" s="2191">
        <v>1.008</v>
      </c>
      <c r="P1173" s="2191">
        <f>O1173*H1173</f>
        <v>43.084944</v>
      </c>
      <c r="Q1173" s="2191">
        <v>1.0000000000000001E-5</v>
      </c>
      <c r="R1173" s="2191">
        <f>Q1173*H1173</f>
        <v>4.2743000000000007E-4</v>
      </c>
      <c r="S1173" s="2191">
        <v>0</v>
      </c>
      <c r="T1173" s="2192">
        <f>S1173*H1173</f>
        <v>0</v>
      </c>
      <c r="AR1173" s="2193" t="s">
        <v>2894</v>
      </c>
      <c r="AT1173" s="2193" t="s">
        <v>3286</v>
      </c>
      <c r="AU1173" s="2193" t="s">
        <v>134</v>
      </c>
      <c r="AY1173" s="2056" t="s">
        <v>3285</v>
      </c>
      <c r="BE1173" s="2194">
        <f>IF(N1173="základní",J1173,0)</f>
        <v>0</v>
      </c>
      <c r="BF1173" s="2194">
        <f>IF(N1173="snížená",J1173,0)</f>
        <v>0</v>
      </c>
      <c r="BG1173" s="2194">
        <f>IF(N1173="zákl. přenesená",J1173,0)</f>
        <v>0</v>
      </c>
      <c r="BH1173" s="2194">
        <f>IF(N1173="sníž. přenesená",J1173,0)</f>
        <v>0</v>
      </c>
      <c r="BI1173" s="2194">
        <f>IF(N1173="nulová",J1173,0)</f>
        <v>0</v>
      </c>
      <c r="BJ1173" s="2056" t="s">
        <v>134</v>
      </c>
      <c r="BK1173" s="2194">
        <v>0</v>
      </c>
      <c r="BL1173" s="2056" t="s">
        <v>2894</v>
      </c>
      <c r="BM1173" s="2193" t="s">
        <v>4208</v>
      </c>
    </row>
    <row r="1174" spans="2:65" s="2209" customFormat="1">
      <c r="B1174" s="2210"/>
      <c r="D1174" s="2197" t="s">
        <v>3303</v>
      </c>
      <c r="E1174" s="2211" t="s">
        <v>3146</v>
      </c>
      <c r="F1174" s="2212" t="s">
        <v>4209</v>
      </c>
      <c r="H1174" s="2213">
        <v>18.329999999999998</v>
      </c>
      <c r="L1174" s="2210"/>
      <c r="M1174" s="2214"/>
      <c r="T1174" s="2215"/>
      <c r="AT1174" s="2211" t="s">
        <v>3303</v>
      </c>
      <c r="AU1174" s="2211" t="s">
        <v>134</v>
      </c>
      <c r="AV1174" s="2209" t="s">
        <v>134</v>
      </c>
      <c r="AW1174" s="2209" t="s">
        <v>3171</v>
      </c>
      <c r="AX1174" s="2209" t="s">
        <v>3213</v>
      </c>
      <c r="AY1174" s="2211" t="s">
        <v>3285</v>
      </c>
    </row>
    <row r="1175" spans="2:65" s="2209" customFormat="1">
      <c r="B1175" s="2210"/>
      <c r="D1175" s="2197" t="s">
        <v>3303</v>
      </c>
      <c r="E1175" s="2211" t="s">
        <v>3146</v>
      </c>
      <c r="F1175" s="2212" t="s">
        <v>4210</v>
      </c>
      <c r="H1175" s="2213">
        <v>12.09</v>
      </c>
      <c r="L1175" s="2210"/>
      <c r="M1175" s="2214"/>
      <c r="T1175" s="2215"/>
      <c r="AT1175" s="2211" t="s">
        <v>3303</v>
      </c>
      <c r="AU1175" s="2211" t="s">
        <v>134</v>
      </c>
      <c r="AV1175" s="2209" t="s">
        <v>134</v>
      </c>
      <c r="AW1175" s="2209" t="s">
        <v>3171</v>
      </c>
      <c r="AX1175" s="2209" t="s">
        <v>3213</v>
      </c>
      <c r="AY1175" s="2211" t="s">
        <v>3285</v>
      </c>
    </row>
    <row r="1176" spans="2:65" s="2209" customFormat="1">
      <c r="B1176" s="2210"/>
      <c r="D1176" s="2197" t="s">
        <v>3303</v>
      </c>
      <c r="E1176" s="2211" t="s">
        <v>3146</v>
      </c>
      <c r="F1176" s="2212" t="s">
        <v>4211</v>
      </c>
      <c r="H1176" s="2213">
        <v>12.323</v>
      </c>
      <c r="L1176" s="2210"/>
      <c r="M1176" s="2214"/>
      <c r="T1176" s="2215"/>
      <c r="AT1176" s="2211" t="s">
        <v>3303</v>
      </c>
      <c r="AU1176" s="2211" t="s">
        <v>134</v>
      </c>
      <c r="AV1176" s="2209" t="s">
        <v>134</v>
      </c>
      <c r="AW1176" s="2209" t="s">
        <v>3171</v>
      </c>
      <c r="AX1176" s="2209" t="s">
        <v>3213</v>
      </c>
      <c r="AY1176" s="2211" t="s">
        <v>3285</v>
      </c>
    </row>
    <row r="1177" spans="2:65" s="2216" customFormat="1">
      <c r="B1177" s="2217"/>
      <c r="D1177" s="2197" t="s">
        <v>3303</v>
      </c>
      <c r="E1177" s="2218" t="s">
        <v>3146</v>
      </c>
      <c r="F1177" s="2219" t="s">
        <v>3306</v>
      </c>
      <c r="H1177" s="2220">
        <v>42.743000000000002</v>
      </c>
      <c r="L1177" s="2217"/>
      <c r="M1177" s="2221"/>
      <c r="T1177" s="2222"/>
      <c r="AT1177" s="2218" t="s">
        <v>3303</v>
      </c>
      <c r="AU1177" s="2218" t="s">
        <v>134</v>
      </c>
      <c r="AV1177" s="2216" t="s">
        <v>856</v>
      </c>
      <c r="AW1177" s="2216" t="s">
        <v>3171</v>
      </c>
      <c r="AX1177" s="2216" t="s">
        <v>133</v>
      </c>
      <c r="AY1177" s="2218" t="s">
        <v>3285</v>
      </c>
    </row>
    <row r="1178" spans="2:65" s="2178" customFormat="1" ht="25.9" customHeight="1">
      <c r="B1178" s="2179"/>
      <c r="D1178" s="2180" t="s">
        <v>3212</v>
      </c>
      <c r="E1178" s="2181" t="s">
        <v>4212</v>
      </c>
      <c r="F1178" s="2181" t="s">
        <v>4213</v>
      </c>
      <c r="J1178" s="2182">
        <f>BK1178</f>
        <v>0</v>
      </c>
      <c r="L1178" s="2179"/>
      <c r="M1178" s="2183"/>
      <c r="P1178" s="2184">
        <f>SUM(P1179:P1184)</f>
        <v>30</v>
      </c>
      <c r="R1178" s="2184">
        <f>SUM(R1179:R1184)</f>
        <v>0</v>
      </c>
      <c r="T1178" s="2185">
        <f>SUM(T1179:T1184)</f>
        <v>0</v>
      </c>
      <c r="AR1178" s="2180" t="s">
        <v>854</v>
      </c>
      <c r="AT1178" s="2186" t="s">
        <v>3212</v>
      </c>
      <c r="AU1178" s="2186" t="s">
        <v>3213</v>
      </c>
      <c r="AY1178" s="2180" t="s">
        <v>3285</v>
      </c>
      <c r="BK1178" s="2187">
        <f>SUM(BK1179:BK1184)</f>
        <v>0</v>
      </c>
    </row>
    <row r="1179" spans="2:65" s="2070" customFormat="1" ht="24.2" customHeight="1">
      <c r="B1179" s="2164"/>
      <c r="C1179" s="4608" t="s">
        <v>5245</v>
      </c>
      <c r="D1179" s="4608" t="s">
        <v>3286</v>
      </c>
      <c r="E1179" s="4609" t="s">
        <v>4215</v>
      </c>
      <c r="F1179" s="4610" t="s">
        <v>4216</v>
      </c>
      <c r="G1179" s="4611" t="s">
        <v>155</v>
      </c>
      <c r="H1179" s="4612">
        <v>1</v>
      </c>
      <c r="I1179" s="4613"/>
      <c r="J1179" s="4613">
        <f>ROUND(I1179*H1179,2)</f>
        <v>0</v>
      </c>
      <c r="K1179" s="4610" t="s">
        <v>3146</v>
      </c>
      <c r="L1179" s="2071"/>
      <c r="M1179" s="2190" t="s">
        <v>3146</v>
      </c>
      <c r="N1179" s="2163" t="s">
        <v>3181</v>
      </c>
      <c r="O1179" s="2191">
        <v>0</v>
      </c>
      <c r="P1179" s="2191">
        <f>O1179*H1179</f>
        <v>0</v>
      </c>
      <c r="Q1179" s="2191">
        <v>0</v>
      </c>
      <c r="R1179" s="2191">
        <f>Q1179*H1179</f>
        <v>0</v>
      </c>
      <c r="S1179" s="2191">
        <v>0</v>
      </c>
      <c r="T1179" s="2192">
        <f>S1179*H1179</f>
        <v>0</v>
      </c>
      <c r="AR1179" s="2193" t="s">
        <v>3551</v>
      </c>
      <c r="AT1179" s="2193" t="s">
        <v>3286</v>
      </c>
      <c r="AU1179" s="2193" t="s">
        <v>133</v>
      </c>
      <c r="AY1179" s="2056" t="s">
        <v>3285</v>
      </c>
      <c r="BE1179" s="2194">
        <f>IF(N1179="základní",J1179,0)</f>
        <v>0</v>
      </c>
      <c r="BF1179" s="2194">
        <f>IF(N1179="snížená",J1179,0)</f>
        <v>0</v>
      </c>
      <c r="BG1179" s="2194">
        <f>IF(N1179="zákl. přenesená",J1179,0)</f>
        <v>0</v>
      </c>
      <c r="BH1179" s="2194">
        <f>IF(N1179="sníž. přenesená",J1179,0)</f>
        <v>0</v>
      </c>
      <c r="BI1179" s="2194">
        <f>IF(N1179="nulová",J1179,0)</f>
        <v>0</v>
      </c>
      <c r="BJ1179" s="2056" t="s">
        <v>134</v>
      </c>
      <c r="BK1179" s="2194">
        <f>ROUND(I1179*H1179,2)</f>
        <v>0</v>
      </c>
      <c r="BL1179" s="2056" t="s">
        <v>3551</v>
      </c>
      <c r="BM1179" s="2193" t="s">
        <v>4217</v>
      </c>
    </row>
    <row r="1180" spans="2:65" s="2070" customFormat="1" ht="24.2" customHeight="1">
      <c r="B1180" s="2164"/>
      <c r="C1180" s="4608" t="s">
        <v>5246</v>
      </c>
      <c r="D1180" s="4608" t="s">
        <v>3286</v>
      </c>
      <c r="E1180" s="4609" t="s">
        <v>4219</v>
      </c>
      <c r="F1180" s="4610" t="s">
        <v>4220</v>
      </c>
      <c r="G1180" s="4611" t="s">
        <v>155</v>
      </c>
      <c r="H1180" s="4612">
        <v>1</v>
      </c>
      <c r="I1180" s="4613"/>
      <c r="J1180" s="4613">
        <f>ROUND(I1180*H1180,2)</f>
        <v>0</v>
      </c>
      <c r="K1180" s="4610" t="s">
        <v>3146</v>
      </c>
      <c r="L1180" s="2071"/>
      <c r="M1180" s="2190" t="s">
        <v>3146</v>
      </c>
      <c r="N1180" s="2163" t="s">
        <v>3181</v>
      </c>
      <c r="O1180" s="2191">
        <v>0</v>
      </c>
      <c r="P1180" s="2191">
        <f>O1180*H1180</f>
        <v>0</v>
      </c>
      <c r="Q1180" s="2191">
        <v>0</v>
      </c>
      <c r="R1180" s="2191">
        <f>Q1180*H1180</f>
        <v>0</v>
      </c>
      <c r="S1180" s="2191">
        <v>0</v>
      </c>
      <c r="T1180" s="2192">
        <f>S1180*H1180</f>
        <v>0</v>
      </c>
      <c r="AR1180" s="2193" t="s">
        <v>3551</v>
      </c>
      <c r="AT1180" s="2193" t="s">
        <v>3286</v>
      </c>
      <c r="AU1180" s="2193" t="s">
        <v>133</v>
      </c>
      <c r="AY1180" s="2056" t="s">
        <v>3285</v>
      </c>
      <c r="BE1180" s="2194">
        <f>IF(N1180="základní",J1180,0)</f>
        <v>0</v>
      </c>
      <c r="BF1180" s="2194">
        <f>IF(N1180="snížená",J1180,0)</f>
        <v>0</v>
      </c>
      <c r="BG1180" s="2194">
        <f>IF(N1180="zákl. přenesená",J1180,0)</f>
        <v>0</v>
      </c>
      <c r="BH1180" s="2194">
        <f>IF(N1180="sníž. přenesená",J1180,0)</f>
        <v>0</v>
      </c>
      <c r="BI1180" s="2194">
        <f>IF(N1180="nulová",J1180,0)</f>
        <v>0</v>
      </c>
      <c r="BJ1180" s="2056" t="s">
        <v>134</v>
      </c>
      <c r="BK1180" s="2194">
        <f>ROUND(I1180*H1180,2)</f>
        <v>0</v>
      </c>
      <c r="BL1180" s="2056" t="s">
        <v>3551</v>
      </c>
      <c r="BM1180" s="2193" t="s">
        <v>4221</v>
      </c>
    </row>
    <row r="1181" spans="2:65" s="2070" customFormat="1" ht="24.2" customHeight="1">
      <c r="B1181" s="2164"/>
      <c r="C1181" s="4608" t="s">
        <v>990</v>
      </c>
      <c r="D1181" s="4608" t="s">
        <v>3286</v>
      </c>
      <c r="E1181" s="4609" t="s">
        <v>4223</v>
      </c>
      <c r="F1181" s="4610" t="s">
        <v>4224</v>
      </c>
      <c r="G1181" s="4611" t="s">
        <v>155</v>
      </c>
      <c r="H1181" s="4612">
        <v>1</v>
      </c>
      <c r="I1181" s="4613"/>
      <c r="J1181" s="4613">
        <f>ROUND(I1181*H1181,2)</f>
        <v>0</v>
      </c>
      <c r="K1181" s="4610" t="s">
        <v>3146</v>
      </c>
      <c r="L1181" s="2071"/>
      <c r="M1181" s="2190" t="s">
        <v>3146</v>
      </c>
      <c r="N1181" s="2163" t="s">
        <v>3181</v>
      </c>
      <c r="O1181" s="2191">
        <v>0</v>
      </c>
      <c r="P1181" s="2191">
        <f>O1181*H1181</f>
        <v>0</v>
      </c>
      <c r="Q1181" s="2191">
        <v>0</v>
      </c>
      <c r="R1181" s="2191">
        <f>Q1181*H1181</f>
        <v>0</v>
      </c>
      <c r="S1181" s="2191">
        <v>0</v>
      </c>
      <c r="T1181" s="2192">
        <f>S1181*H1181</f>
        <v>0</v>
      </c>
      <c r="AR1181" s="2193" t="s">
        <v>3551</v>
      </c>
      <c r="AT1181" s="2193" t="s">
        <v>3286</v>
      </c>
      <c r="AU1181" s="2193" t="s">
        <v>133</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3551</v>
      </c>
      <c r="BM1181" s="2193" t="s">
        <v>4225</v>
      </c>
    </row>
    <row r="1182" spans="2:65" s="2070" customFormat="1" ht="16.5" customHeight="1">
      <c r="B1182" s="2164"/>
      <c r="C1182" s="5561" t="s">
        <v>5247</v>
      </c>
      <c r="D1182" s="4608" t="s">
        <v>3286</v>
      </c>
      <c r="E1182" s="4609" t="s">
        <v>4227</v>
      </c>
      <c r="F1182" s="4610" t="s">
        <v>4228</v>
      </c>
      <c r="G1182" s="4611" t="s">
        <v>155</v>
      </c>
      <c r="H1182" s="4612">
        <v>1</v>
      </c>
      <c r="I1182" s="4613"/>
      <c r="J1182" s="4613">
        <f>ROUND(I1182*H1182,2)</f>
        <v>0</v>
      </c>
      <c r="K1182" s="4610" t="s">
        <v>3146</v>
      </c>
      <c r="L1182" s="2071"/>
      <c r="M1182" s="2190" t="s">
        <v>3146</v>
      </c>
      <c r="N1182" s="2163" t="s">
        <v>3181</v>
      </c>
      <c r="O1182" s="2191">
        <v>0</v>
      </c>
      <c r="P1182" s="2191">
        <f>O1182*H1182</f>
        <v>0</v>
      </c>
      <c r="Q1182" s="2191">
        <v>0</v>
      </c>
      <c r="R1182" s="2191">
        <f>Q1182*H1182</f>
        <v>0</v>
      </c>
      <c r="S1182" s="2191">
        <v>0</v>
      </c>
      <c r="T1182" s="2192">
        <f>S1182*H1182</f>
        <v>0</v>
      </c>
      <c r="AR1182" s="2193" t="s">
        <v>3551</v>
      </c>
      <c r="AT1182" s="2193" t="s">
        <v>3286</v>
      </c>
      <c r="AU1182" s="2193" t="s">
        <v>133</v>
      </c>
      <c r="AY1182" s="2056" t="s">
        <v>3285</v>
      </c>
      <c r="BE1182" s="2194">
        <f>IF(N1182="základní",J1182,0)</f>
        <v>0</v>
      </c>
      <c r="BF1182" s="2194">
        <f>IF(N1182="snížená",J1182,0)</f>
        <v>0</v>
      </c>
      <c r="BG1182" s="2194">
        <f>IF(N1182="zákl. přenesená",J1182,0)</f>
        <v>0</v>
      </c>
      <c r="BH1182" s="2194">
        <f>IF(N1182="sníž. přenesená",J1182,0)</f>
        <v>0</v>
      </c>
      <c r="BI1182" s="2194">
        <f>IF(N1182="nulová",J1182,0)</f>
        <v>0</v>
      </c>
      <c r="BJ1182" s="2056" t="s">
        <v>134</v>
      </c>
      <c r="BK1182" s="2194">
        <f>ROUND(I1182*H1182,2)</f>
        <v>0</v>
      </c>
      <c r="BL1182" s="2056" t="s">
        <v>3551</v>
      </c>
      <c r="BM1182" s="2193" t="s">
        <v>4229</v>
      </c>
    </row>
    <row r="1183" spans="2:65" s="2070" customFormat="1" ht="101.25">
      <c r="B1183" s="2164"/>
      <c r="C1183" s="4608"/>
      <c r="D1183" s="4608"/>
      <c r="E1183" s="4609"/>
      <c r="F1183" s="5560" t="s">
        <v>11616</v>
      </c>
      <c r="G1183" s="4611"/>
      <c r="H1183" s="4612"/>
      <c r="I1183" s="4613"/>
      <c r="J1183" s="4613"/>
      <c r="K1183" s="4610"/>
      <c r="L1183" s="2071"/>
      <c r="M1183" s="2190"/>
      <c r="N1183" s="2163"/>
      <c r="O1183" s="2191"/>
      <c r="P1183" s="2191"/>
      <c r="Q1183" s="2191"/>
      <c r="R1183" s="2191"/>
      <c r="S1183" s="2191"/>
      <c r="T1183" s="2192"/>
      <c r="AR1183" s="2193"/>
      <c r="AT1183" s="2193"/>
      <c r="AU1183" s="2193"/>
      <c r="AY1183" s="2056"/>
      <c r="BE1183" s="2194"/>
      <c r="BF1183" s="2194"/>
      <c r="BG1183" s="2194"/>
      <c r="BH1183" s="2194"/>
      <c r="BI1183" s="2194"/>
      <c r="BJ1183" s="2056"/>
      <c r="BK1183" s="2194"/>
      <c r="BL1183" s="2056"/>
      <c r="BM1183" s="2193"/>
    </row>
    <row r="1184" spans="2:65" s="2070" customFormat="1" ht="16.5" customHeight="1">
      <c r="B1184" s="2164"/>
      <c r="C1184" s="4608" t="s">
        <v>5248</v>
      </c>
      <c r="D1184" s="4608" t="s">
        <v>3286</v>
      </c>
      <c r="E1184" s="4609" t="s">
        <v>4231</v>
      </c>
      <c r="F1184" s="4610" t="s">
        <v>4232</v>
      </c>
      <c r="G1184" s="4611" t="s">
        <v>191</v>
      </c>
      <c r="H1184" s="4612">
        <v>30</v>
      </c>
      <c r="I1184" s="4613"/>
      <c r="J1184" s="4613">
        <f>ROUND(I1184*H1184,2)</f>
        <v>0</v>
      </c>
      <c r="K1184" s="4610" t="s">
        <v>142</v>
      </c>
      <c r="L1184" s="2071"/>
      <c r="M1184" s="2190" t="s">
        <v>3146</v>
      </c>
      <c r="N1184" s="2163" t="s">
        <v>3181</v>
      </c>
      <c r="O1184" s="2191">
        <v>1</v>
      </c>
      <c r="P1184" s="2191">
        <f>O1184*H1184</f>
        <v>30</v>
      </c>
      <c r="Q1184" s="2191">
        <v>0</v>
      </c>
      <c r="R1184" s="2191">
        <f>Q1184*H1184</f>
        <v>0</v>
      </c>
      <c r="S1184" s="2191">
        <v>0</v>
      </c>
      <c r="T1184" s="2192">
        <f>S1184*H1184</f>
        <v>0</v>
      </c>
      <c r="AR1184" s="2193" t="s">
        <v>3551</v>
      </c>
      <c r="AT1184" s="2193" t="s">
        <v>3286</v>
      </c>
      <c r="AU1184" s="2193" t="s">
        <v>133</v>
      </c>
      <c r="AY1184" s="2056" t="s">
        <v>3285</v>
      </c>
      <c r="BE1184" s="2194">
        <f>IF(N1184="základní",J1184,0)</f>
        <v>0</v>
      </c>
      <c r="BF1184" s="2194">
        <f>IF(N1184="snížená",J1184,0)</f>
        <v>0</v>
      </c>
      <c r="BG1184" s="2194">
        <f>IF(N1184="zákl. přenesená",J1184,0)</f>
        <v>0</v>
      </c>
      <c r="BH1184" s="2194">
        <f>IF(N1184="sníž. přenesená",J1184,0)</f>
        <v>0</v>
      </c>
      <c r="BI1184" s="2194">
        <f>IF(N1184="nulová",J1184,0)</f>
        <v>0</v>
      </c>
      <c r="BJ1184" s="2056" t="s">
        <v>134</v>
      </c>
      <c r="BK1184" s="2194">
        <f>ROUND(I1184*H1184,2)</f>
        <v>0</v>
      </c>
      <c r="BL1184" s="2056" t="s">
        <v>3551</v>
      </c>
      <c r="BM1184" s="2193" t="s">
        <v>4233</v>
      </c>
    </row>
    <row r="1185" spans="2:65" s="2178" customFormat="1" ht="25.9" customHeight="1">
      <c r="B1185" s="2179"/>
      <c r="D1185" s="2180" t="s">
        <v>3212</v>
      </c>
      <c r="E1185" s="2181" t="s">
        <v>4234</v>
      </c>
      <c r="F1185" s="2181" t="s">
        <v>4235</v>
      </c>
      <c r="J1185" s="2182">
        <f>BK1185</f>
        <v>0</v>
      </c>
      <c r="L1185" s="2179"/>
      <c r="M1185" s="2183"/>
      <c r="P1185" s="2184">
        <f>SUM(P1186:P1198)</f>
        <v>0</v>
      </c>
      <c r="R1185" s="2184">
        <f>SUM(R1186:R1198)</f>
        <v>0</v>
      </c>
      <c r="T1185" s="2185">
        <f>SUM(T1186:T1198)</f>
        <v>0</v>
      </c>
      <c r="AR1185" s="2180" t="s">
        <v>854</v>
      </c>
      <c r="AT1185" s="2186" t="s">
        <v>3212</v>
      </c>
      <c r="AU1185" s="2186" t="s">
        <v>3213</v>
      </c>
      <c r="AY1185" s="2180" t="s">
        <v>3285</v>
      </c>
      <c r="BK1185" s="2187">
        <f>SUM(BK1186:BK1198)</f>
        <v>0</v>
      </c>
    </row>
    <row r="1186" spans="2:65" s="2070" customFormat="1" ht="24" customHeight="1">
      <c r="B1186" s="2164"/>
      <c r="C1186" s="5641" t="s">
        <v>5249</v>
      </c>
      <c r="D1186" s="5627" t="s">
        <v>3286</v>
      </c>
      <c r="E1186" s="5628" t="s">
        <v>4237</v>
      </c>
      <c r="F1186" s="5629" t="s">
        <v>4238</v>
      </c>
      <c r="G1186" s="5630" t="s">
        <v>149</v>
      </c>
      <c r="H1186" s="5631">
        <f>H1187</f>
        <v>4900</v>
      </c>
      <c r="I1186" s="5632"/>
      <c r="J1186" s="5632">
        <f>ROUND(I1186*H1186,2)</f>
        <v>0</v>
      </c>
      <c r="K1186" s="4610" t="s">
        <v>3146</v>
      </c>
      <c r="L1186" s="2071"/>
      <c r="M1186" s="2190" t="s">
        <v>3146</v>
      </c>
      <c r="N1186" s="2163" t="s">
        <v>3181</v>
      </c>
      <c r="O1186" s="2191">
        <v>0</v>
      </c>
      <c r="P1186" s="2191">
        <f>O1186*H1186</f>
        <v>0</v>
      </c>
      <c r="Q1186" s="2191">
        <v>0</v>
      </c>
      <c r="R1186" s="2191">
        <f>Q1186*H1186</f>
        <v>0</v>
      </c>
      <c r="S1186" s="2191">
        <v>0</v>
      </c>
      <c r="T1186" s="2192">
        <f>S1186*H1186</f>
        <v>0</v>
      </c>
      <c r="AR1186" s="2193" t="s">
        <v>3551</v>
      </c>
      <c r="AT1186" s="2193" t="s">
        <v>3286</v>
      </c>
      <c r="AU1186" s="2193" t="s">
        <v>133</v>
      </c>
      <c r="AY1186" s="2056" t="s">
        <v>3285</v>
      </c>
      <c r="BE1186" s="2194">
        <f>IF(N1186="základní",J1186,0)</f>
        <v>0</v>
      </c>
      <c r="BF1186" s="2194">
        <f>IF(N1186="snížená",J1186,0)</f>
        <v>0</v>
      </c>
      <c r="BG1186" s="2194">
        <f>IF(N1186="zákl. přenesená",J1186,0)</f>
        <v>0</v>
      </c>
      <c r="BH1186" s="2194">
        <f>IF(N1186="sníž. přenesená",J1186,0)</f>
        <v>0</v>
      </c>
      <c r="BI1186" s="2194">
        <f>IF(N1186="nulová",J1186,0)</f>
        <v>0</v>
      </c>
      <c r="BJ1186" s="2056" t="s">
        <v>134</v>
      </c>
      <c r="BK1186" s="2194">
        <f>ROUND(I1186*H1186,2)</f>
        <v>0</v>
      </c>
      <c r="BL1186" s="2056" t="s">
        <v>3551</v>
      </c>
      <c r="BM1186" s="2193" t="s">
        <v>4239</v>
      </c>
    </row>
    <row r="1187" spans="2:65" s="2209" customFormat="1">
      <c r="B1187" s="2210"/>
      <c r="C1187" s="5633"/>
      <c r="D1187" s="5634" t="s">
        <v>3303</v>
      </c>
      <c r="E1187" s="5635" t="s">
        <v>3161</v>
      </c>
      <c r="F1187" s="5636" t="s">
        <v>11727</v>
      </c>
      <c r="G1187" s="5633"/>
      <c r="H1187" s="5642">
        <v>4900</v>
      </c>
      <c r="I1187" s="5633"/>
      <c r="J1187" s="5633"/>
      <c r="K1187" s="5639"/>
      <c r="L1187" s="2210"/>
      <c r="M1187" s="2214"/>
      <c r="T1187" s="2215"/>
      <c r="AT1187" s="2211" t="s">
        <v>3303</v>
      </c>
      <c r="AU1187" s="2211" t="s">
        <v>134</v>
      </c>
      <c r="AV1187" s="2209" t="s">
        <v>134</v>
      </c>
      <c r="AW1187" s="2209" t="s">
        <v>3171</v>
      </c>
      <c r="AX1187" s="2209" t="s">
        <v>3213</v>
      </c>
      <c r="AY1187" s="2211" t="s">
        <v>3285</v>
      </c>
    </row>
    <row r="1188" spans="2:65" s="2209" customFormat="1" ht="51" customHeight="1">
      <c r="B1188" s="2210"/>
      <c r="C1188" s="5633"/>
      <c r="D1188" s="5634" t="s">
        <v>3303</v>
      </c>
      <c r="E1188" s="5635" t="s">
        <v>3161</v>
      </c>
      <c r="F1188" s="5638" t="s">
        <v>11728</v>
      </c>
      <c r="G1188" s="5633"/>
      <c r="H1188" s="5637"/>
      <c r="I1188" s="5633"/>
      <c r="J1188" s="5633"/>
      <c r="K1188" s="5639"/>
      <c r="L1188" s="2210"/>
      <c r="M1188" s="2214"/>
      <c r="T1188" s="2215"/>
      <c r="AT1188" s="2211" t="s">
        <v>3303</v>
      </c>
      <c r="AU1188" s="2211" t="s">
        <v>134</v>
      </c>
      <c r="AV1188" s="2209" t="s">
        <v>134</v>
      </c>
      <c r="AW1188" s="2209" t="s">
        <v>3171</v>
      </c>
      <c r="AX1188" s="2209" t="s">
        <v>3213</v>
      </c>
      <c r="AY1188" s="2211" t="s">
        <v>3285</v>
      </c>
    </row>
    <row r="1189" spans="2:65" s="2209" customFormat="1" ht="36.75" customHeight="1">
      <c r="B1189" s="2210"/>
      <c r="C1189" s="5633"/>
      <c r="D1189" s="5634" t="s">
        <v>3303</v>
      </c>
      <c r="E1189" s="5635"/>
      <c r="F1189" s="5638" t="s">
        <v>11729</v>
      </c>
      <c r="G1189" s="5633"/>
      <c r="H1189" s="5637"/>
      <c r="I1189" s="5633"/>
      <c r="J1189" s="5633"/>
      <c r="K1189" s="5639"/>
      <c r="L1189" s="2210"/>
      <c r="M1189" s="2214"/>
      <c r="T1189" s="2215"/>
      <c r="AT1189" s="2211"/>
      <c r="AU1189" s="2211"/>
      <c r="AY1189" s="2211"/>
    </row>
    <row r="1190" spans="2:65" s="2209" customFormat="1" ht="36.75" customHeight="1">
      <c r="B1190" s="2210"/>
      <c r="C1190" s="5633"/>
      <c r="D1190" s="5634" t="s">
        <v>3303</v>
      </c>
      <c r="E1190" s="5635"/>
      <c r="F1190" s="5638" t="s">
        <v>11730</v>
      </c>
      <c r="G1190" s="5633"/>
      <c r="H1190" s="5637"/>
      <c r="I1190" s="5633"/>
      <c r="J1190" s="5633"/>
      <c r="K1190" s="5640"/>
      <c r="L1190" s="2210"/>
      <c r="M1190" s="2214"/>
      <c r="T1190" s="2215"/>
      <c r="AT1190" s="2211"/>
      <c r="AU1190" s="2211"/>
      <c r="AY1190" s="2211"/>
    </row>
    <row r="1191" spans="2:65" s="2209" customFormat="1" ht="36.75" customHeight="1">
      <c r="B1191" s="2210"/>
      <c r="C1191" s="5633"/>
      <c r="D1191" s="5634" t="s">
        <v>3303</v>
      </c>
      <c r="E1191" s="5635"/>
      <c r="F1191" s="5572" t="s">
        <v>11731</v>
      </c>
      <c r="G1191" s="5633"/>
      <c r="H1191" s="5637"/>
      <c r="I1191" s="5633"/>
      <c r="J1191" s="5633"/>
      <c r="K1191" s="5640"/>
      <c r="L1191" s="2210"/>
      <c r="M1191" s="2214"/>
      <c r="T1191" s="2215"/>
      <c r="AT1191" s="2211"/>
      <c r="AU1191" s="2211"/>
      <c r="AY1191" s="2211"/>
    </row>
    <row r="1192" spans="2:65" s="2070" customFormat="1" ht="24.2" customHeight="1">
      <c r="B1192" s="2164"/>
      <c r="C1192" s="5561" t="s">
        <v>5250</v>
      </c>
      <c r="D1192" s="4608" t="s">
        <v>3286</v>
      </c>
      <c r="E1192" s="4609" t="s">
        <v>4241</v>
      </c>
      <c r="F1192" s="4610" t="s">
        <v>4238</v>
      </c>
      <c r="G1192" s="4611" t="s">
        <v>149</v>
      </c>
      <c r="H1192" s="4612">
        <v>1060</v>
      </c>
      <c r="I1192" s="5874" t="s">
        <v>11555</v>
      </c>
      <c r="J1192" s="5875"/>
      <c r="K1192" s="4610" t="s">
        <v>3146</v>
      </c>
      <c r="L1192" s="2071"/>
      <c r="M1192" s="2190" t="s">
        <v>3146</v>
      </c>
      <c r="N1192" s="2163" t="s">
        <v>3181</v>
      </c>
      <c r="O1192" s="2191">
        <v>0</v>
      </c>
      <c r="P1192" s="2191">
        <f>O1192*H1192</f>
        <v>0</v>
      </c>
      <c r="Q1192" s="2191">
        <v>0</v>
      </c>
      <c r="R1192" s="2191">
        <f>Q1192*H1192</f>
        <v>0</v>
      </c>
      <c r="S1192" s="2191">
        <v>0</v>
      </c>
      <c r="T1192" s="2192">
        <f>S1192*H1192</f>
        <v>0</v>
      </c>
      <c r="AR1192" s="2193" t="s">
        <v>3551</v>
      </c>
      <c r="AT1192" s="2193" t="s">
        <v>3286</v>
      </c>
      <c r="AU1192" s="2193" t="s">
        <v>133</v>
      </c>
      <c r="AY1192" s="2056" t="s">
        <v>3285</v>
      </c>
      <c r="BE1192" s="2194">
        <f>IF(N1192="základní",J1192,0)</f>
        <v>0</v>
      </c>
      <c r="BF1192" s="2194">
        <f>IF(N1192="snížená",J1192,0)</f>
        <v>0</v>
      </c>
      <c r="BG1192" s="2194">
        <f>IF(N1192="zákl. přenesená",J1192,0)</f>
        <v>0</v>
      </c>
      <c r="BH1192" s="2194">
        <f>IF(N1192="sníž. přenesená",J1192,0)</f>
        <v>0</v>
      </c>
      <c r="BI1192" s="2194">
        <f>IF(N1192="nulová",J1192,0)</f>
        <v>0</v>
      </c>
      <c r="BJ1192" s="2056" t="s">
        <v>134</v>
      </c>
      <c r="BK1192" s="2194">
        <v>0</v>
      </c>
      <c r="BL1192" s="2056" t="s">
        <v>3551</v>
      </c>
      <c r="BM1192" s="2193" t="s">
        <v>4242</v>
      </c>
    </row>
    <row r="1193" spans="2:65" s="2070" customFormat="1" ht="16.5" customHeight="1">
      <c r="B1193" s="2164"/>
      <c r="C1193" s="4608" t="s">
        <v>5251</v>
      </c>
      <c r="D1193" s="4608" t="s">
        <v>3286</v>
      </c>
      <c r="E1193" s="4609" t="s">
        <v>4044</v>
      </c>
      <c r="F1193" s="4610" t="s">
        <v>4045</v>
      </c>
      <c r="G1193" s="4611" t="s">
        <v>611</v>
      </c>
      <c r="H1193" s="4612">
        <v>25.218</v>
      </c>
      <c r="I1193" s="4613"/>
      <c r="J1193" s="4613">
        <f>ROUND(I1193*H1193,2)</f>
        <v>0</v>
      </c>
      <c r="K1193" s="4610" t="s">
        <v>3146</v>
      </c>
      <c r="L1193" s="2071"/>
      <c r="M1193" s="2190" t="s">
        <v>3146</v>
      </c>
      <c r="N1193" s="2163" t="s">
        <v>3181</v>
      </c>
      <c r="O1193" s="2191">
        <v>0</v>
      </c>
      <c r="P1193" s="2191">
        <f>O1193*H1193</f>
        <v>0</v>
      </c>
      <c r="Q1193" s="2191">
        <v>0</v>
      </c>
      <c r="R1193" s="2191">
        <f>Q1193*H1193</f>
        <v>0</v>
      </c>
      <c r="S1193" s="2191">
        <v>0</v>
      </c>
      <c r="T1193" s="2192">
        <f>S1193*H1193</f>
        <v>0</v>
      </c>
      <c r="AR1193" s="2193" t="s">
        <v>3551</v>
      </c>
      <c r="AT1193" s="2193" t="s">
        <v>3286</v>
      </c>
      <c r="AU1193" s="2193" t="s">
        <v>133</v>
      </c>
      <c r="AY1193" s="2056" t="s">
        <v>3285</v>
      </c>
      <c r="BE1193" s="2194">
        <f>IF(N1193="základní",J1193,0)</f>
        <v>0</v>
      </c>
      <c r="BF1193" s="2194">
        <f>IF(N1193="snížená",J1193,0)</f>
        <v>0</v>
      </c>
      <c r="BG1193" s="2194">
        <f>IF(N1193="zákl. přenesená",J1193,0)</f>
        <v>0</v>
      </c>
      <c r="BH1193" s="2194">
        <f>IF(N1193="sníž. přenesená",J1193,0)</f>
        <v>0</v>
      </c>
      <c r="BI1193" s="2194">
        <f>IF(N1193="nulová",J1193,0)</f>
        <v>0</v>
      </c>
      <c r="BJ1193" s="2056" t="s">
        <v>134</v>
      </c>
      <c r="BK1193" s="2194">
        <f>ROUND(I1193*H1193,2)</f>
        <v>0</v>
      </c>
      <c r="BL1193" s="2056" t="s">
        <v>3551</v>
      </c>
      <c r="BM1193" s="2193" t="s">
        <v>4046</v>
      </c>
    </row>
    <row r="1194" spans="2:65" s="2209" customFormat="1" ht="22.5">
      <c r="B1194" s="2210"/>
      <c r="D1194" s="2197" t="s">
        <v>3303</v>
      </c>
      <c r="E1194" s="2211" t="s">
        <v>3146</v>
      </c>
      <c r="F1194" s="2212" t="s">
        <v>4047</v>
      </c>
      <c r="H1194" s="2213">
        <v>17.018000000000001</v>
      </c>
      <c r="L1194" s="2210"/>
      <c r="M1194" s="2214"/>
      <c r="T1194" s="2215"/>
      <c r="AT1194" s="2211" t="s">
        <v>3303</v>
      </c>
      <c r="AU1194" s="2211" t="s">
        <v>133</v>
      </c>
      <c r="AV1194" s="2209" t="s">
        <v>134</v>
      </c>
      <c r="AW1194" s="2209" t="s">
        <v>3171</v>
      </c>
      <c r="AX1194" s="2209" t="s">
        <v>3213</v>
      </c>
      <c r="AY1194" s="2211" t="s">
        <v>3285</v>
      </c>
    </row>
    <row r="1195" spans="2:65" s="2209" customFormat="1">
      <c r="B1195" s="2210"/>
      <c r="D1195" s="2197" t="s">
        <v>3303</v>
      </c>
      <c r="E1195" s="2211" t="s">
        <v>3146</v>
      </c>
      <c r="F1195" s="2212" t="s">
        <v>4048</v>
      </c>
      <c r="H1195" s="2213">
        <v>8.1999999999999993</v>
      </c>
      <c r="L1195" s="2210"/>
      <c r="M1195" s="2214"/>
      <c r="T1195" s="2215"/>
      <c r="AT1195" s="2211" t="s">
        <v>3303</v>
      </c>
      <c r="AU1195" s="2211" t="s">
        <v>133</v>
      </c>
      <c r="AV1195" s="2209" t="s">
        <v>134</v>
      </c>
      <c r="AW1195" s="2209" t="s">
        <v>3171</v>
      </c>
      <c r="AX1195" s="2209" t="s">
        <v>3213</v>
      </c>
      <c r="AY1195" s="2211" t="s">
        <v>3285</v>
      </c>
    </row>
    <row r="1196" spans="2:65" s="2195" customFormat="1" ht="22.5">
      <c r="B1196" s="2196"/>
      <c r="D1196" s="2197" t="s">
        <v>3303</v>
      </c>
      <c r="E1196" s="2198" t="s">
        <v>3146</v>
      </c>
      <c r="F1196" s="2199" t="s">
        <v>4049</v>
      </c>
      <c r="H1196" s="2198" t="s">
        <v>3146</v>
      </c>
      <c r="L1196" s="2196"/>
      <c r="M1196" s="2200"/>
      <c r="T1196" s="2201"/>
      <c r="AT1196" s="2198" t="s">
        <v>3303</v>
      </c>
      <c r="AU1196" s="2198" t="s">
        <v>133</v>
      </c>
      <c r="AV1196" s="2195" t="s">
        <v>133</v>
      </c>
      <c r="AW1196" s="2195" t="s">
        <v>3171</v>
      </c>
      <c r="AX1196" s="2195" t="s">
        <v>3213</v>
      </c>
      <c r="AY1196" s="2198" t="s">
        <v>3285</v>
      </c>
    </row>
    <row r="1197" spans="2:65" s="2195" customFormat="1" ht="22.5">
      <c r="B1197" s="2196"/>
      <c r="D1197" s="2197" t="s">
        <v>3303</v>
      </c>
      <c r="E1197" s="2198" t="s">
        <v>3146</v>
      </c>
      <c r="F1197" s="2199" t="s">
        <v>4050</v>
      </c>
      <c r="H1197" s="2198" t="s">
        <v>3146</v>
      </c>
      <c r="L1197" s="2196"/>
      <c r="M1197" s="2200"/>
      <c r="T1197" s="2201"/>
      <c r="AT1197" s="2198" t="s">
        <v>3303</v>
      </c>
      <c r="AU1197" s="2198" t="s">
        <v>133</v>
      </c>
      <c r="AV1197" s="2195" t="s">
        <v>133</v>
      </c>
      <c r="AW1197" s="2195" t="s">
        <v>3171</v>
      </c>
      <c r="AX1197" s="2195" t="s">
        <v>3213</v>
      </c>
      <c r="AY1197" s="2198" t="s">
        <v>3285</v>
      </c>
    </row>
    <row r="1198" spans="2:65" s="2216" customFormat="1">
      <c r="B1198" s="2217"/>
      <c r="D1198" s="2197" t="s">
        <v>3303</v>
      </c>
      <c r="E1198" s="2218" t="s">
        <v>3146</v>
      </c>
      <c r="F1198" s="2219" t="s">
        <v>3306</v>
      </c>
      <c r="H1198" s="2220">
        <v>25.218</v>
      </c>
      <c r="L1198" s="2217"/>
      <c r="M1198" s="2221"/>
      <c r="T1198" s="2222"/>
      <c r="AT1198" s="2218" t="s">
        <v>3303</v>
      </c>
      <c r="AU1198" s="2218" t="s">
        <v>133</v>
      </c>
      <c r="AV1198" s="2216" t="s">
        <v>856</v>
      </c>
      <c r="AW1198" s="2216" t="s">
        <v>3171</v>
      </c>
      <c r="AX1198" s="2216" t="s">
        <v>133</v>
      </c>
      <c r="AY1198" s="2218" t="s">
        <v>3285</v>
      </c>
    </row>
    <row r="1199" spans="2:65" s="2178" customFormat="1" ht="25.9" customHeight="1">
      <c r="B1199" s="2179"/>
      <c r="D1199" s="2180" t="s">
        <v>3212</v>
      </c>
      <c r="E1199" s="2181" t="s">
        <v>188</v>
      </c>
      <c r="F1199" s="2181" t="s">
        <v>4243</v>
      </c>
      <c r="J1199" s="2182">
        <f>BK1199</f>
        <v>0</v>
      </c>
      <c r="L1199" s="2179"/>
      <c r="M1199" s="2183"/>
      <c r="P1199" s="2184">
        <f>SUM(P1200:P1201)</f>
        <v>80</v>
      </c>
      <c r="R1199" s="2184">
        <f>SUM(R1200:R1201)</f>
        <v>0</v>
      </c>
      <c r="T1199" s="2185">
        <f>SUM(T1200:T1201)</f>
        <v>0</v>
      </c>
      <c r="W1199" s="5560"/>
      <c r="AR1199" s="2180" t="s">
        <v>856</v>
      </c>
      <c r="AT1199" s="2186" t="s">
        <v>3212</v>
      </c>
      <c r="AU1199" s="2186" t="s">
        <v>3213</v>
      </c>
      <c r="AY1199" s="2180" t="s">
        <v>3285</v>
      </c>
      <c r="BK1199" s="2187">
        <f>SUM(BK1200:BK1201)</f>
        <v>0</v>
      </c>
    </row>
    <row r="1200" spans="2:65" s="2070" customFormat="1" ht="21.75" customHeight="1">
      <c r="B1200" s="2164"/>
      <c r="C1200" s="4608" t="s">
        <v>5252</v>
      </c>
      <c r="D1200" s="4608" t="s">
        <v>3286</v>
      </c>
      <c r="E1200" s="4609" t="s">
        <v>4245</v>
      </c>
      <c r="F1200" s="4610" t="s">
        <v>4246</v>
      </c>
      <c r="G1200" s="4611" t="s">
        <v>191</v>
      </c>
      <c r="H1200" s="4612">
        <v>56</v>
      </c>
      <c r="I1200" s="4613"/>
      <c r="J1200" s="4613">
        <f>ROUND(I1200*H1200,2)</f>
        <v>0</v>
      </c>
      <c r="K1200" s="4610" t="s">
        <v>142</v>
      </c>
      <c r="L1200" s="2071"/>
      <c r="M1200" s="2190" t="s">
        <v>3146</v>
      </c>
      <c r="N1200" s="2163" t="s">
        <v>3181</v>
      </c>
      <c r="O1200" s="2191">
        <v>1</v>
      </c>
      <c r="P1200" s="2191">
        <f>O1200*H1200</f>
        <v>56</v>
      </c>
      <c r="Q1200" s="2191">
        <v>0</v>
      </c>
      <c r="R1200" s="2191">
        <f>Q1200*H1200</f>
        <v>0</v>
      </c>
      <c r="S1200" s="2191">
        <v>0</v>
      </c>
      <c r="T1200" s="2192">
        <f>S1200*H1200</f>
        <v>0</v>
      </c>
      <c r="AR1200" s="2193" t="s">
        <v>3551</v>
      </c>
      <c r="AT1200" s="2193" t="s">
        <v>3286</v>
      </c>
      <c r="AU1200" s="2193" t="s">
        <v>133</v>
      </c>
      <c r="AY1200" s="2056" t="s">
        <v>3285</v>
      </c>
      <c r="BE1200" s="2194">
        <f>IF(N1200="základní",J1200,0)</f>
        <v>0</v>
      </c>
      <c r="BF1200" s="2194">
        <f>IF(N1200="snížená",J1200,0)</f>
        <v>0</v>
      </c>
      <c r="BG1200" s="2194">
        <f>IF(N1200="zákl. přenesená",J1200,0)</f>
        <v>0</v>
      </c>
      <c r="BH1200" s="2194">
        <f>IF(N1200="sníž. přenesená",J1200,0)</f>
        <v>0</v>
      </c>
      <c r="BI1200" s="2194">
        <f>IF(N1200="nulová",J1200,0)</f>
        <v>0</v>
      </c>
      <c r="BJ1200" s="2056" t="s">
        <v>134</v>
      </c>
      <c r="BK1200" s="2194">
        <f>ROUND(I1200*H1200,2)</f>
        <v>0</v>
      </c>
      <c r="BL1200" s="2056" t="s">
        <v>3551</v>
      </c>
      <c r="BM1200" s="2193" t="s">
        <v>4249</v>
      </c>
    </row>
    <row r="1201" spans="2:65" s="2070" customFormat="1" ht="16.5" customHeight="1">
      <c r="B1201" s="2164"/>
      <c r="C1201" s="4608" t="s">
        <v>5253</v>
      </c>
      <c r="D1201" s="4608" t="s">
        <v>3286</v>
      </c>
      <c r="E1201" s="4609" t="s">
        <v>4250</v>
      </c>
      <c r="F1201" s="4610" t="s">
        <v>4251</v>
      </c>
      <c r="G1201" s="4611" t="s">
        <v>191</v>
      </c>
      <c r="H1201" s="4612">
        <v>24</v>
      </c>
      <c r="I1201" s="4613"/>
      <c r="J1201" s="4613">
        <f>ROUND(I1201*H1201,2)</f>
        <v>0</v>
      </c>
      <c r="K1201" s="4610" t="s">
        <v>142</v>
      </c>
      <c r="L1201" s="2071"/>
      <c r="M1201" s="2226" t="s">
        <v>3146</v>
      </c>
      <c r="N1201" s="2227" t="s">
        <v>3181</v>
      </c>
      <c r="O1201" s="2228">
        <v>1</v>
      </c>
      <c r="P1201" s="2228">
        <f>O1201*H1201</f>
        <v>24</v>
      </c>
      <c r="Q1201" s="2228">
        <v>0</v>
      </c>
      <c r="R1201" s="2228">
        <f>Q1201*H1201</f>
        <v>0</v>
      </c>
      <c r="S1201" s="2228">
        <v>0</v>
      </c>
      <c r="T1201" s="2229">
        <f>S1201*H1201</f>
        <v>0</v>
      </c>
      <c r="AR1201" s="2193" t="s">
        <v>4247</v>
      </c>
      <c r="AT1201" s="2193" t="s">
        <v>3286</v>
      </c>
      <c r="AU1201" s="2193" t="s">
        <v>133</v>
      </c>
      <c r="AY1201" s="2056" t="s">
        <v>3285</v>
      </c>
      <c r="BE1201" s="2194">
        <f>IF(N1201="základní",J1201,0)</f>
        <v>0</v>
      </c>
      <c r="BF1201" s="2194">
        <f>IF(N1201="snížená",J1201,0)</f>
        <v>0</v>
      </c>
      <c r="BG1201" s="2194">
        <f>IF(N1201="zákl. přenesená",J1201,0)</f>
        <v>0</v>
      </c>
      <c r="BH1201" s="2194">
        <f>IF(N1201="sníž. přenesená",J1201,0)</f>
        <v>0</v>
      </c>
      <c r="BI1201" s="2194">
        <f>IF(N1201="nulová",J1201,0)</f>
        <v>0</v>
      </c>
      <c r="BJ1201" s="2056" t="s">
        <v>134</v>
      </c>
      <c r="BK1201" s="2194">
        <f>ROUND(I1201*H1201,2)</f>
        <v>0</v>
      </c>
      <c r="BL1201" s="2056" t="s">
        <v>4247</v>
      </c>
      <c r="BM1201" s="2193" t="s">
        <v>4252</v>
      </c>
    </row>
    <row r="1202" spans="2:65" s="2070" customFormat="1" ht="6.95" customHeight="1">
      <c r="B1202" s="2084"/>
      <c r="C1202" s="2085"/>
      <c r="D1202" s="2085"/>
      <c r="E1202" s="2085"/>
      <c r="F1202" s="2085"/>
      <c r="G1202" s="2085"/>
      <c r="H1202" s="2085"/>
      <c r="I1202" s="2085"/>
      <c r="J1202" s="2085"/>
      <c r="K1202" s="2085"/>
      <c r="L1202" s="2071"/>
    </row>
  </sheetData>
  <autoFilter ref="C146:K1201" xr:uid="{00000000-0009-0000-0000-000001000000}"/>
  <mergeCells count="37">
    <mergeCell ref="I1116:J1116"/>
    <mergeCell ref="I1065:J1065"/>
    <mergeCell ref="E87:H87"/>
    <mergeCell ref="D123:F123"/>
    <mergeCell ref="D124:F124"/>
    <mergeCell ref="D125:F125"/>
    <mergeCell ref="E137:H137"/>
    <mergeCell ref="E139:H139"/>
    <mergeCell ref="I1093:J1093"/>
    <mergeCell ref="I1094:J1094"/>
    <mergeCell ref="I1040:J1040"/>
    <mergeCell ref="I1021:J1021"/>
    <mergeCell ref="I1056:J1056"/>
    <mergeCell ref="E7:H7"/>
    <mergeCell ref="E9:H9"/>
    <mergeCell ref="E27:H27"/>
    <mergeCell ref="E85:H85"/>
    <mergeCell ref="I1058:J1058"/>
    <mergeCell ref="I1025:J1025"/>
    <mergeCell ref="I253:J253"/>
    <mergeCell ref="I289:J289"/>
    <mergeCell ref="I1192:J1192"/>
    <mergeCell ref="L2:V2"/>
    <mergeCell ref="I1117:J1117"/>
    <mergeCell ref="I1173:J1173"/>
    <mergeCell ref="I986:J986"/>
    <mergeCell ref="I990:J990"/>
    <mergeCell ref="I177:J177"/>
    <mergeCell ref="I199:J199"/>
    <mergeCell ref="I202:J202"/>
    <mergeCell ref="I617:J617"/>
    <mergeCell ref="I1085:J1085"/>
    <mergeCell ref="I1091:J1091"/>
    <mergeCell ref="I1048:J1048"/>
    <mergeCell ref="I1054:J1054"/>
    <mergeCell ref="I237:J237"/>
    <mergeCell ref="I249:J249"/>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869" t="s">
        <v>10708</v>
      </c>
      <c r="M2" s="5870"/>
      <c r="N2" s="5870"/>
      <c r="O2" s="5870"/>
      <c r="P2" s="5870"/>
      <c r="Q2" s="5870"/>
      <c r="R2" s="5870"/>
      <c r="S2" s="5870"/>
      <c r="T2" s="5870"/>
      <c r="U2" s="5870"/>
      <c r="V2" s="5870"/>
      <c r="AT2" s="2056" t="s">
        <v>3224</v>
      </c>
      <c r="AZ2" s="2230" t="s">
        <v>4253</v>
      </c>
      <c r="BA2" s="2230" t="s">
        <v>4254</v>
      </c>
      <c r="BB2" s="2230" t="s">
        <v>611</v>
      </c>
      <c r="BC2" s="2230" t="s">
        <v>4255</v>
      </c>
      <c r="BD2" s="2230" t="s">
        <v>854</v>
      </c>
    </row>
    <row r="3" spans="2:56" ht="6.95" customHeight="1">
      <c r="B3" s="2057"/>
      <c r="C3" s="2058"/>
      <c r="D3" s="2058"/>
      <c r="E3" s="2058"/>
      <c r="F3" s="2058"/>
      <c r="G3" s="2058"/>
      <c r="H3" s="2058"/>
      <c r="I3" s="2058"/>
      <c r="J3" s="2058"/>
      <c r="K3" s="2058"/>
      <c r="L3" s="2059"/>
      <c r="AT3" s="2056" t="s">
        <v>133</v>
      </c>
      <c r="AZ3" s="2230" t="s">
        <v>4256</v>
      </c>
      <c r="BA3" s="2230" t="s">
        <v>4257</v>
      </c>
      <c r="BB3" s="2230" t="s">
        <v>611</v>
      </c>
      <c r="BC3" s="2230" t="s">
        <v>4258</v>
      </c>
      <c r="BD3" s="2230" t="s">
        <v>854</v>
      </c>
    </row>
    <row r="4" spans="2:56" ht="24.95" customHeight="1">
      <c r="B4" s="2059"/>
      <c r="D4" s="2060" t="s">
        <v>3238</v>
      </c>
      <c r="L4" s="2059"/>
      <c r="M4" s="2136" t="s">
        <v>3152</v>
      </c>
      <c r="AT4" s="2056" t="s">
        <v>3148</v>
      </c>
      <c r="AZ4" s="2230" t="s">
        <v>4259</v>
      </c>
      <c r="BA4" s="2230" t="s">
        <v>4260</v>
      </c>
      <c r="BB4" s="2230" t="s">
        <v>611</v>
      </c>
      <c r="BC4" s="2230" t="s">
        <v>4261</v>
      </c>
      <c r="BD4" s="2230" t="s">
        <v>854</v>
      </c>
    </row>
    <row r="5" spans="2:56" ht="6.95" customHeight="1">
      <c r="B5" s="2059"/>
      <c r="L5" s="2059"/>
      <c r="AZ5" s="2230" t="s">
        <v>4262</v>
      </c>
      <c r="BA5" s="2230" t="s">
        <v>4263</v>
      </c>
      <c r="BB5" s="2230" t="s">
        <v>611</v>
      </c>
      <c r="BC5" s="2230" t="s">
        <v>4264</v>
      </c>
      <c r="BD5" s="2230" t="s">
        <v>854</v>
      </c>
    </row>
    <row r="6" spans="2:56" ht="12" customHeight="1">
      <c r="B6" s="2059"/>
      <c r="D6" s="2065" t="s">
        <v>3156</v>
      </c>
      <c r="L6" s="2059"/>
      <c r="AZ6" s="2230" t="s">
        <v>4265</v>
      </c>
      <c r="BA6" s="2230" t="s">
        <v>4266</v>
      </c>
      <c r="BB6" s="2230" t="s">
        <v>611</v>
      </c>
      <c r="BC6" s="2230" t="s">
        <v>4267</v>
      </c>
      <c r="BD6" s="2230" t="s">
        <v>854</v>
      </c>
    </row>
    <row r="7" spans="2:56" ht="16.5" customHeight="1">
      <c r="B7" s="2059"/>
      <c r="E7" s="5878" t="str">
        <f>'Rekapitulace stavby'!K6</f>
        <v>Dostavba domova pro seniory ve Vrchlabí - PD</v>
      </c>
      <c r="F7" s="5879"/>
      <c r="G7" s="5879"/>
      <c r="H7" s="5879"/>
      <c r="L7" s="2059"/>
      <c r="AZ7" s="2230" t="s">
        <v>4268</v>
      </c>
      <c r="BA7" s="2230" t="s">
        <v>4269</v>
      </c>
      <c r="BB7" s="2230" t="s">
        <v>611</v>
      </c>
      <c r="BC7" s="2230" t="s">
        <v>4270</v>
      </c>
      <c r="BD7" s="2230" t="s">
        <v>854</v>
      </c>
    </row>
    <row r="8" spans="2:56" s="2070" customFormat="1" ht="12" customHeight="1">
      <c r="B8" s="2071"/>
      <c r="D8" s="2065" t="s">
        <v>3239</v>
      </c>
      <c r="L8" s="2071"/>
      <c r="AZ8" s="2230" t="s">
        <v>4271</v>
      </c>
      <c r="BA8" s="2230" t="s">
        <v>4272</v>
      </c>
      <c r="BB8" s="2230" t="s">
        <v>611</v>
      </c>
      <c r="BC8" s="2230" t="s">
        <v>4273</v>
      </c>
      <c r="BD8" s="2230" t="s">
        <v>854</v>
      </c>
    </row>
    <row r="9" spans="2:56" s="2070" customFormat="1" ht="16.5" customHeight="1">
      <c r="B9" s="2071"/>
      <c r="E9" s="5862" t="s">
        <v>4274</v>
      </c>
      <c r="F9" s="5880"/>
      <c r="G9" s="5880"/>
      <c r="H9" s="5880"/>
      <c r="L9" s="2071"/>
      <c r="AZ9" s="2230" t="s">
        <v>4275</v>
      </c>
      <c r="BA9" s="2230" t="s">
        <v>4276</v>
      </c>
      <c r="BB9" s="2230" t="s">
        <v>611</v>
      </c>
      <c r="BC9" s="2230" t="s">
        <v>4277</v>
      </c>
      <c r="BD9" s="2230" t="s">
        <v>854</v>
      </c>
    </row>
    <row r="10" spans="2:56" s="2070" customFormat="1">
      <c r="B10" s="2071"/>
      <c r="L10" s="2071"/>
      <c r="AZ10" s="2230" t="s">
        <v>4278</v>
      </c>
      <c r="BA10" s="2230" t="s">
        <v>4279</v>
      </c>
      <c r="BB10" s="2230" t="s">
        <v>611</v>
      </c>
      <c r="BC10" s="2230" t="s">
        <v>4280</v>
      </c>
      <c r="BD10" s="2230" t="s">
        <v>854</v>
      </c>
    </row>
    <row r="11" spans="2:56" s="2070" customFormat="1" ht="12" customHeight="1">
      <c r="B11" s="2071"/>
      <c r="D11" s="2065" t="s">
        <v>3158</v>
      </c>
      <c r="F11" s="2063" t="s">
        <v>3146</v>
      </c>
      <c r="I11" s="2065" t="s">
        <v>3159</v>
      </c>
      <c r="J11" s="2063" t="s">
        <v>3146</v>
      </c>
      <c r="L11" s="2071"/>
      <c r="AZ11" s="2230" t="s">
        <v>4281</v>
      </c>
      <c r="BA11" s="2230" t="s">
        <v>4282</v>
      </c>
      <c r="BB11" s="2230" t="s">
        <v>611</v>
      </c>
      <c r="BC11" s="2230" t="s">
        <v>4283</v>
      </c>
      <c r="BD11" s="2230" t="s">
        <v>854</v>
      </c>
    </row>
    <row r="12" spans="2:56" s="2070" customFormat="1" ht="12" customHeight="1">
      <c r="B12" s="2071"/>
      <c r="D12" s="2065" t="s">
        <v>3160</v>
      </c>
      <c r="F12" s="2063" t="s">
        <v>3161</v>
      </c>
      <c r="I12" s="2065" t="s">
        <v>3162</v>
      </c>
      <c r="J12" s="2094" t="str">
        <f>'Rekapitulace stavby'!AN8</f>
        <v>15. 5. 2023</v>
      </c>
      <c r="L12" s="2071"/>
      <c r="AZ12" s="2230" t="s">
        <v>4284</v>
      </c>
      <c r="BA12" s="2230" t="s">
        <v>4285</v>
      </c>
      <c r="BB12" s="2230" t="s">
        <v>611</v>
      </c>
      <c r="BC12" s="2230" t="s">
        <v>4286</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73" t="s">
        <v>3146</v>
      </c>
      <c r="F27" s="5873"/>
      <c r="G27" s="5873"/>
      <c r="H27" s="587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SUM(BE130:BE344)),  2)</f>
        <v>0</v>
      </c>
      <c r="I35" s="2141">
        <v>0.21</v>
      </c>
      <c r="J35" s="2140">
        <f>ROUND(((SUM(BE109:BE110) + SUM(BE130:BE344))*I35),  2)</f>
        <v>0</v>
      </c>
      <c r="L35" s="2071"/>
    </row>
    <row r="36" spans="2:12" s="2070" customFormat="1" ht="14.45" customHeight="1">
      <c r="B36" s="2071"/>
      <c r="E36" s="2065" t="s">
        <v>3181</v>
      </c>
      <c r="F36" s="2140">
        <f>ROUND((SUM(BF109:BF110) + SUM(BF130:BF344)),  2)</f>
        <v>0</v>
      </c>
      <c r="I36" s="2141">
        <v>0.15</v>
      </c>
      <c r="J36" s="2140">
        <f>ROUND(((SUM(BF109:BF110) + SUM(BF130:BF344))*I36),  2)</f>
        <v>0</v>
      </c>
      <c r="L36" s="2071"/>
    </row>
    <row r="37" spans="2:12" s="2070" customFormat="1" ht="14.45" hidden="1" customHeight="1">
      <c r="B37" s="2071"/>
      <c r="E37" s="2065" t="s">
        <v>3182</v>
      </c>
      <c r="F37" s="2140">
        <f>ROUND((SUM(BG109:BG110) + SUM(BG130:BG344)),  2)</f>
        <v>0</v>
      </c>
      <c r="I37" s="2141">
        <v>0.21</v>
      </c>
      <c r="J37" s="2140">
        <f>0</f>
        <v>0</v>
      </c>
      <c r="L37" s="2071"/>
    </row>
    <row r="38" spans="2:12" s="2070" customFormat="1" ht="14.45" hidden="1" customHeight="1">
      <c r="B38" s="2071"/>
      <c r="E38" s="2065" t="s">
        <v>3183</v>
      </c>
      <c r="F38" s="2140">
        <f>ROUND((SUM(BH109:BH110) + SUM(BH130:BH344)),  2)</f>
        <v>0</v>
      </c>
      <c r="I38" s="2141">
        <v>0.15</v>
      </c>
      <c r="J38" s="2140">
        <f>0</f>
        <v>0</v>
      </c>
      <c r="L38" s="2071"/>
    </row>
    <row r="39" spans="2:12" s="2070" customFormat="1" ht="14.45" hidden="1" customHeight="1">
      <c r="B39" s="2071"/>
      <c r="E39" s="2065" t="s">
        <v>3184</v>
      </c>
      <c r="F39" s="2140">
        <f>ROUND((SUM(BI109:BI110) + SUM(BI130:BI344)),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878" t="str">
        <f>E7</f>
        <v>Dostavba domova pro seniory ve Vrchlabí - PD</v>
      </c>
      <c r="F85" s="5879"/>
      <c r="G85" s="5879"/>
      <c r="H85" s="5879"/>
      <c r="L85" s="2071"/>
    </row>
    <row r="86" spans="2:47" s="2070" customFormat="1" ht="12" customHeight="1">
      <c r="B86" s="2071"/>
      <c r="C86" s="2065" t="s">
        <v>3239</v>
      </c>
      <c r="L86" s="2071"/>
    </row>
    <row r="87" spans="2:47" s="2070" customFormat="1" ht="16.5" customHeight="1">
      <c r="B87" s="2071"/>
      <c r="E87" s="5862" t="str">
        <f>E9</f>
        <v>01.1 - Novostavba - podlahy</v>
      </c>
      <c r="F87" s="5880"/>
      <c r="G87" s="5880"/>
      <c r="H87" s="588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4287</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4288</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4289</v>
      </c>
      <c r="E105" s="2160"/>
      <c r="F105" s="2160"/>
      <c r="G105" s="2160"/>
      <c r="H105" s="2160"/>
      <c r="I105" s="2160"/>
      <c r="J105" s="2161">
        <f>J324</f>
        <v>0</v>
      </c>
      <c r="L105" s="2158"/>
    </row>
    <row r="106" spans="2:14" s="2157" customFormat="1" ht="19.899999999999999" customHeight="1">
      <c r="B106" s="2158"/>
      <c r="D106" s="2159" t="s">
        <v>3264</v>
      </c>
      <c r="E106" s="2160"/>
      <c r="F106" s="2160"/>
      <c r="G106" s="2160"/>
      <c r="H106" s="2160"/>
      <c r="I106" s="2160"/>
      <c r="J106" s="2161">
        <f>J338</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878" t="str">
        <f>E7</f>
        <v>Dostavba domova pro seniory ve Vrchlabí - PD</v>
      </c>
      <c r="F120" s="5879"/>
      <c r="G120" s="5879"/>
      <c r="H120" s="5879"/>
      <c r="L120" s="2071"/>
    </row>
    <row r="121" spans="2:12" s="2070" customFormat="1" ht="12" customHeight="1">
      <c r="B121" s="2071"/>
      <c r="C121" s="2065" t="s">
        <v>3239</v>
      </c>
      <c r="L121" s="2071"/>
    </row>
    <row r="122" spans="2:12" s="2070" customFormat="1" ht="16.5" customHeight="1">
      <c r="B122" s="2071"/>
      <c r="E122" s="5862" t="str">
        <f>E9</f>
        <v>01.1 - Novostavba - podlahy</v>
      </c>
      <c r="F122" s="5880"/>
      <c r="G122" s="5880"/>
      <c r="H122" s="5880"/>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656.1402813499999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11005</v>
      </c>
      <c r="F133" s="4610" t="s">
        <v>11006</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11007</v>
      </c>
    </row>
    <row r="134" spans="2:65" s="2209" customFormat="1">
      <c r="B134" s="2210"/>
      <c r="D134" s="2197" t="s">
        <v>3303</v>
      </c>
      <c r="E134" s="2211" t="s">
        <v>3146</v>
      </c>
      <c r="F134" s="2212" t="s">
        <v>11008</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11009</v>
      </c>
      <c r="F135" s="4610" t="s">
        <v>11010</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11011</v>
      </c>
    </row>
    <row r="136" spans="2:65" s="2209" customFormat="1">
      <c r="B136" s="2210"/>
      <c r="D136" s="2197" t="s">
        <v>3303</v>
      </c>
      <c r="E136" s="2211" t="s">
        <v>3146</v>
      </c>
      <c r="F136" s="2212" t="s">
        <v>4275</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4290</v>
      </c>
      <c r="F137" s="4610" t="s">
        <v>4291</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4292</v>
      </c>
    </row>
    <row r="138" spans="2:65" s="2209" customFormat="1">
      <c r="B138" s="2210"/>
      <c r="D138" s="2197" t="s">
        <v>3303</v>
      </c>
      <c r="E138" s="2211" t="s">
        <v>3146</v>
      </c>
      <c r="F138" s="2212" t="s">
        <v>4293</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4294</v>
      </c>
      <c r="F140" s="4610" t="s">
        <v>4295</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4296</v>
      </c>
    </row>
    <row r="141" spans="2:65" s="2209" customFormat="1">
      <c r="B141" s="2210"/>
      <c r="D141" s="2197" t="s">
        <v>3303</v>
      </c>
      <c r="E141" s="2211" t="s">
        <v>3146</v>
      </c>
      <c r="F141" s="2212" t="s">
        <v>4297</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4298</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4299</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4300</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4301</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4302</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4303</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4304</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4305</v>
      </c>
      <c r="F150" s="4610" t="s">
        <v>4306</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4307</v>
      </c>
    </row>
    <row r="151" spans="2:65" s="2209" customFormat="1">
      <c r="B151" s="2210"/>
      <c r="D151" s="2197" t="s">
        <v>3303</v>
      </c>
      <c r="E151" s="2211" t="s">
        <v>3146</v>
      </c>
      <c r="F151" s="2212" t="s">
        <v>4308</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4309</v>
      </c>
      <c r="F153" s="4610" t="s">
        <v>4310</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4311</v>
      </c>
    </row>
    <row r="154" spans="2:65" s="2209" customFormat="1">
      <c r="B154" s="2210"/>
      <c r="D154" s="2197" t="s">
        <v>3303</v>
      </c>
      <c r="E154" s="2211" t="s">
        <v>3146</v>
      </c>
      <c r="F154" s="2212" t="s">
        <v>4312</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4313</v>
      </c>
      <c r="F156" s="4610" t="s">
        <v>4314</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4315</v>
      </c>
    </row>
    <row r="157" spans="2:65" s="2209" customFormat="1">
      <c r="B157" s="2210"/>
      <c r="D157" s="2197" t="s">
        <v>3303</v>
      </c>
      <c r="E157" s="2211" t="s">
        <v>3146</v>
      </c>
      <c r="F157" s="2212" t="s">
        <v>4316</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4317</v>
      </c>
      <c r="F158" s="4610" t="s">
        <v>4318</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4319</v>
      </c>
    </row>
    <row r="159" spans="2:65" s="2209" customFormat="1">
      <c r="B159" s="2210"/>
      <c r="D159" s="2197" t="s">
        <v>3303</v>
      </c>
      <c r="E159" s="2211" t="s">
        <v>3146</v>
      </c>
      <c r="F159" s="2212" t="s">
        <v>4320</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4321</v>
      </c>
      <c r="F160" s="4610" t="s">
        <v>4322</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4323</v>
      </c>
    </row>
    <row r="161" spans="2:65" s="2209" customFormat="1">
      <c r="B161" s="2210"/>
      <c r="D161" s="2197" t="s">
        <v>3303</v>
      </c>
      <c r="E161" s="2211" t="s">
        <v>3146</v>
      </c>
      <c r="F161" s="2212" t="s">
        <v>4281</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4324</v>
      </c>
      <c r="F162" s="4616" t="s">
        <v>4325</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4326</v>
      </c>
    </row>
    <row r="163" spans="2:65" s="2209" customFormat="1">
      <c r="B163" s="2210"/>
      <c r="D163" s="2197" t="s">
        <v>3303</v>
      </c>
      <c r="F163" s="2212" t="s">
        <v>4327</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3921</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4328</v>
      </c>
      <c r="F165" s="4610" t="s">
        <v>4329</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4330</v>
      </c>
    </row>
    <row r="166" spans="2:65" s="2178" customFormat="1" ht="25.9" customHeight="1">
      <c r="B166" s="2179"/>
      <c r="D166" s="2180" t="s">
        <v>3212</v>
      </c>
      <c r="E166" s="2181" t="s">
        <v>995</v>
      </c>
      <c r="F166" s="2181" t="s">
        <v>996</v>
      </c>
      <c r="J166" s="2182">
        <f>BK166</f>
        <v>0</v>
      </c>
      <c r="L166" s="2179"/>
      <c r="M166" s="2183"/>
      <c r="P166" s="2184">
        <f>P167+P176+P223+P264+P324+P338</f>
        <v>6791.9424940000008</v>
      </c>
      <c r="R166" s="2184">
        <f>R167+R176+R223+R264+R324+R338</f>
        <v>64.862943109999989</v>
      </c>
      <c r="T166" s="2185">
        <f>T167+T176+T223+T264+T324+T338</f>
        <v>0</v>
      </c>
      <c r="AR166" s="2180" t="s">
        <v>134</v>
      </c>
      <c r="AT166" s="2186" t="s">
        <v>3212</v>
      </c>
      <c r="AU166" s="2186" t="s">
        <v>3213</v>
      </c>
      <c r="AY166" s="2180" t="s">
        <v>3285</v>
      </c>
      <c r="BK166" s="2187">
        <f>BK167+BK176+BK223+BK264+BK324+BK338</f>
        <v>0</v>
      </c>
    </row>
    <row r="167" spans="2:65" s="2178" customFormat="1" ht="22.9" customHeight="1">
      <c r="B167" s="2179"/>
      <c r="D167" s="2180" t="s">
        <v>3212</v>
      </c>
      <c r="E167" s="2188" t="s">
        <v>3931</v>
      </c>
      <c r="F167" s="2188" t="s">
        <v>3932</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4331</v>
      </c>
      <c r="F168" s="4610" t="s">
        <v>4332</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4333</v>
      </c>
    </row>
    <row r="169" spans="2:65" s="2209" customFormat="1">
      <c r="B169" s="2210"/>
      <c r="D169" s="2197" t="s">
        <v>3303</v>
      </c>
      <c r="E169" s="2211" t="s">
        <v>3146</v>
      </c>
      <c r="F169" s="2212" t="s">
        <v>4281</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4334</v>
      </c>
      <c r="F170" s="4610" t="s">
        <v>4335</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4336</v>
      </c>
    </row>
    <row r="171" spans="2:65" s="2070" customFormat="1" ht="24.2" customHeight="1">
      <c r="B171" s="2164"/>
      <c r="C171" s="4608" t="s">
        <v>1823</v>
      </c>
      <c r="D171" s="4608" t="s">
        <v>3286</v>
      </c>
      <c r="E171" s="4609" t="s">
        <v>4337</v>
      </c>
      <c r="F171" s="4610" t="s">
        <v>4338</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4339</v>
      </c>
    </row>
    <row r="172" spans="2:65" s="2070" customFormat="1" ht="49.15" customHeight="1">
      <c r="B172" s="2164"/>
      <c r="C172" s="4614" t="s">
        <v>1827</v>
      </c>
      <c r="D172" s="4614" t="s">
        <v>135</v>
      </c>
      <c r="E172" s="4615" t="s">
        <v>4340</v>
      </c>
      <c r="F172" s="4616" t="s">
        <v>4341</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4342</v>
      </c>
    </row>
    <row r="173" spans="2:65" s="2209" customFormat="1">
      <c r="B173" s="2210"/>
      <c r="D173" s="2197" t="s">
        <v>3303</v>
      </c>
      <c r="F173" s="2212" t="s">
        <v>4343</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4344</v>
      </c>
      <c r="F174" s="4610" t="s">
        <v>4345</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4346</v>
      </c>
    </row>
    <row r="175" spans="2:65" s="2070" customFormat="1" ht="24.2" customHeight="1">
      <c r="B175" s="2164"/>
      <c r="C175" s="4608" t="s">
        <v>2897</v>
      </c>
      <c r="D175" s="4608" t="s">
        <v>3286</v>
      </c>
      <c r="E175" s="4609" t="s">
        <v>4347</v>
      </c>
      <c r="F175" s="4610" t="s">
        <v>4348</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4349</v>
      </c>
    </row>
    <row r="176" spans="2:65" s="2178" customFormat="1" ht="22.9" customHeight="1">
      <c r="B176" s="2179"/>
      <c r="D176" s="2180" t="s">
        <v>3212</v>
      </c>
      <c r="E176" s="2188" t="s">
        <v>4007</v>
      </c>
      <c r="F176" s="2188" t="s">
        <v>4008</v>
      </c>
      <c r="J176" s="2189">
        <f>BK176</f>
        <v>0</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f>SUM(BK177:BK222)</f>
        <v>0</v>
      </c>
    </row>
    <row r="177" spans="2:65" s="2070" customFormat="1" ht="24.2" customHeight="1">
      <c r="B177" s="2164"/>
      <c r="C177" s="4608" t="s">
        <v>2475</v>
      </c>
      <c r="D177" s="4608" t="s">
        <v>3286</v>
      </c>
      <c r="E177" s="4609" t="s">
        <v>4350</v>
      </c>
      <c r="F177" s="4610" t="s">
        <v>4351</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4352</v>
      </c>
    </row>
    <row r="178" spans="2:65" s="2209" customFormat="1">
      <c r="B178" s="2210"/>
      <c r="D178" s="2197" t="s">
        <v>3303</v>
      </c>
      <c r="E178" s="2211" t="s">
        <v>3146</v>
      </c>
      <c r="F178" s="2212" t="s">
        <v>4265</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4268</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4271</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4278</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4284</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4353</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11734</v>
      </c>
      <c r="F186" s="5613" t="s">
        <v>11735</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4356</v>
      </c>
    </row>
    <row r="187" spans="2:65" s="2209" customFormat="1">
      <c r="B187" s="2210"/>
      <c r="D187" s="2197" t="s">
        <v>3303</v>
      </c>
      <c r="E187" s="2211" t="s">
        <v>3146</v>
      </c>
      <c r="F187" s="2212" t="s">
        <v>4265</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4268</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4271</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4278</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4284</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4357</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4354</v>
      </c>
      <c r="F194" s="4616" t="s">
        <v>4355</v>
      </c>
      <c r="G194" s="4617" t="s">
        <v>611</v>
      </c>
      <c r="H194" s="4618">
        <v>2409.4560000000001</v>
      </c>
      <c r="I194" s="5876" t="s">
        <v>11555</v>
      </c>
      <c r="J194" s="5877"/>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v>0</v>
      </c>
      <c r="BL194" s="2056" t="s">
        <v>2894</v>
      </c>
      <c r="BM194" s="2193" t="s">
        <v>4356</v>
      </c>
    </row>
    <row r="195" spans="2:65" s="2209" customFormat="1">
      <c r="B195" s="2210"/>
      <c r="D195" s="2197" t="s">
        <v>3303</v>
      </c>
      <c r="E195" s="2211" t="s">
        <v>3146</v>
      </c>
      <c r="F195" s="2212" t="s">
        <v>4265</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4268</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4271</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4278</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4284</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4357</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4358</v>
      </c>
      <c r="F202" s="4616" t="s">
        <v>4359</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4360</v>
      </c>
    </row>
    <row r="203" spans="2:65" s="2209" customFormat="1">
      <c r="B203" s="2210"/>
      <c r="D203" s="2197" t="s">
        <v>3303</v>
      </c>
      <c r="E203" s="2211" t="s">
        <v>3146</v>
      </c>
      <c r="F203" s="2212" t="s">
        <v>4353</v>
      </c>
      <c r="H203" s="2213">
        <v>2294.7199999999998</v>
      </c>
      <c r="L203" s="2210"/>
      <c r="M203" s="2214"/>
      <c r="T203" s="2215"/>
      <c r="W203" s="5646"/>
      <c r="X203" s="5611"/>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c r="X204" s="5611"/>
      <c r="AT204" s="2218" t="s">
        <v>3303</v>
      </c>
      <c r="AU204" s="2218" t="s">
        <v>134</v>
      </c>
      <c r="AV204" s="2216" t="s">
        <v>856</v>
      </c>
      <c r="AW204" s="2216" t="s">
        <v>3171</v>
      </c>
      <c r="AX204" s="2216" t="s">
        <v>133</v>
      </c>
      <c r="AY204" s="2218" t="s">
        <v>3285</v>
      </c>
    </row>
    <row r="205" spans="2:65" s="2209" customFormat="1">
      <c r="B205" s="2210"/>
      <c r="D205" s="2197" t="s">
        <v>3303</v>
      </c>
      <c r="F205" s="2212" t="s">
        <v>4357</v>
      </c>
      <c r="H205" s="2213">
        <v>2409.4560000000001</v>
      </c>
      <c r="L205" s="2210"/>
      <c r="M205" s="2214"/>
      <c r="T205" s="2215"/>
      <c r="W205" s="5646"/>
      <c r="AB205" s="5611"/>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4361</v>
      </c>
      <c r="F206" s="4610" t="s">
        <v>4362</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c r="X206" s="2209"/>
      <c r="Y206" s="2209"/>
      <c r="Z206" s="2209"/>
      <c r="AA206" s="2209"/>
      <c r="AB206" s="5611"/>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4363</v>
      </c>
    </row>
    <row r="207" spans="2:65" s="2209" customFormat="1">
      <c r="B207" s="2210"/>
      <c r="D207" s="2197" t="s">
        <v>3303</v>
      </c>
      <c r="E207" s="2211" t="s">
        <v>3146</v>
      </c>
      <c r="F207" s="2212" t="s">
        <v>4253</v>
      </c>
      <c r="H207" s="2213">
        <v>314.14600000000002</v>
      </c>
      <c r="L207" s="2210"/>
      <c r="M207" s="2214"/>
      <c r="T207" s="2215"/>
      <c r="W207" s="5646"/>
      <c r="AB207" s="5611"/>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4256</v>
      </c>
      <c r="H208" s="2213">
        <v>69.790000000000006</v>
      </c>
      <c r="L208" s="2210"/>
      <c r="M208" s="2214"/>
      <c r="T208" s="2215"/>
      <c r="W208" s="5646"/>
      <c r="X208" s="5611"/>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4259</v>
      </c>
      <c r="H209" s="2213">
        <v>558.62</v>
      </c>
      <c r="L209" s="2210"/>
      <c r="M209" s="2214"/>
      <c r="T209" s="2215"/>
      <c r="W209" s="5646"/>
      <c r="AB209" s="5611"/>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c r="Z210" s="2209"/>
      <c r="AA210" s="2209"/>
      <c r="AB210" s="5611"/>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4364</v>
      </c>
      <c r="F211" s="4616" t="s">
        <v>4365</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c r="Z211" s="2209"/>
      <c r="AA211" s="2209"/>
      <c r="AB211" s="5611"/>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4366</v>
      </c>
    </row>
    <row r="212" spans="2:65" s="2209" customFormat="1">
      <c r="B212" s="2210"/>
      <c r="D212" s="2197" t="s">
        <v>3303</v>
      </c>
      <c r="E212" s="2211" t="s">
        <v>3146</v>
      </c>
      <c r="F212" s="2212" t="s">
        <v>4367</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4368</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4369</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4370</v>
      </c>
      <c r="F216" s="4610" t="s">
        <v>4371</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4372</v>
      </c>
    </row>
    <row r="217" spans="2:65" s="2209" customFormat="1">
      <c r="B217" s="2210"/>
      <c r="D217" s="2197" t="s">
        <v>3303</v>
      </c>
      <c r="E217" s="2211" t="s">
        <v>3146</v>
      </c>
      <c r="F217" s="2212" t="s">
        <v>4293</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4373</v>
      </c>
      <c r="F219" s="4616" t="s">
        <v>4374</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4375</v>
      </c>
    </row>
    <row r="220" spans="2:65" s="2209" customFormat="1">
      <c r="B220" s="2210"/>
      <c r="D220" s="2197" t="s">
        <v>3303</v>
      </c>
      <c r="F220" s="2212" t="s">
        <v>4376</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4377</v>
      </c>
      <c r="F221" s="4610" t="s">
        <v>4378</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4379</v>
      </c>
    </row>
    <row r="222" spans="2:65" s="2070" customFormat="1" ht="24.2" customHeight="1">
      <c r="B222" s="2164"/>
      <c r="C222" s="4608" t="s">
        <v>2522</v>
      </c>
      <c r="D222" s="4608" t="s">
        <v>3286</v>
      </c>
      <c r="E222" s="4609" t="s">
        <v>4380</v>
      </c>
      <c r="F222" s="4610" t="s">
        <v>4381</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4382</v>
      </c>
    </row>
    <row r="223" spans="2:65" s="2178" customFormat="1" ht="22.9" customHeight="1">
      <c r="B223" s="2179"/>
      <c r="D223" s="2180" t="s">
        <v>3212</v>
      </c>
      <c r="E223" s="2188" t="s">
        <v>4383</v>
      </c>
      <c r="F223" s="2188" t="s">
        <v>4384</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4385</v>
      </c>
      <c r="F224" s="4610" t="s">
        <v>4386</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4387</v>
      </c>
    </row>
    <row r="225" spans="2:65" s="2209" customFormat="1">
      <c r="B225" s="2210"/>
      <c r="D225" s="2197" t="s">
        <v>3303</v>
      </c>
      <c r="E225" s="2211" t="s">
        <v>3146</v>
      </c>
      <c r="F225" s="2212" t="s">
        <v>4388</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4389</v>
      </c>
      <c r="F227" s="4610" t="s">
        <v>4390</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4391</v>
      </c>
    </row>
    <row r="228" spans="2:65" s="2070" customFormat="1" ht="24.2" customHeight="1">
      <c r="B228" s="2164"/>
      <c r="C228" s="4608" t="s">
        <v>2366</v>
      </c>
      <c r="D228" s="4608" t="s">
        <v>3286</v>
      </c>
      <c r="E228" s="4609" t="s">
        <v>4392</v>
      </c>
      <c r="F228" s="4610" t="s">
        <v>4393</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4394</v>
      </c>
    </row>
    <row r="229" spans="2:65" s="2070" customFormat="1" ht="24.2" customHeight="1">
      <c r="B229" s="2164"/>
      <c r="C229" s="4608" t="s">
        <v>3382</v>
      </c>
      <c r="D229" s="4608" t="s">
        <v>3286</v>
      </c>
      <c r="E229" s="4609" t="s">
        <v>4395</v>
      </c>
      <c r="F229" s="4610" t="s">
        <v>4396</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4397</v>
      </c>
    </row>
    <row r="230" spans="2:65" s="2195" customFormat="1">
      <c r="B230" s="2196"/>
      <c r="D230" s="2197" t="s">
        <v>3303</v>
      </c>
      <c r="E230" s="2198" t="s">
        <v>3146</v>
      </c>
      <c r="F230" s="2199" t="s">
        <v>3517</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4398</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3661</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4399</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4400</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3578</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4401</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3580</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4402</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4403</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4404</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4405</v>
      </c>
      <c r="F242" s="4610" t="s">
        <v>4406</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4407</v>
      </c>
    </row>
    <row r="243" spans="2:65" s="2070" customFormat="1" ht="37.9" customHeight="1">
      <c r="B243" s="2164"/>
      <c r="C243" s="4608" t="s">
        <v>3389</v>
      </c>
      <c r="D243" s="4608" t="s">
        <v>3286</v>
      </c>
      <c r="E243" s="4609" t="s">
        <v>4408</v>
      </c>
      <c r="F243" s="4610" t="s">
        <v>4409</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4410</v>
      </c>
    </row>
    <row r="244" spans="2:65" s="2209" customFormat="1">
      <c r="B244" s="2210"/>
      <c r="D244" s="2197" t="s">
        <v>3303</v>
      </c>
      <c r="E244" s="2211" t="s">
        <v>3146</v>
      </c>
      <c r="F244" s="2212" t="s">
        <v>4388</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4411</v>
      </c>
      <c r="F246" s="4616" t="s">
        <v>4412</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4413</v>
      </c>
    </row>
    <row r="247" spans="2:65" s="2209" customFormat="1">
      <c r="B247" s="2210"/>
      <c r="D247" s="2197" t="s">
        <v>3303</v>
      </c>
      <c r="E247" s="2211" t="s">
        <v>3146</v>
      </c>
      <c r="F247" s="2212" t="s">
        <v>4414</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4415</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4416</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4417</v>
      </c>
      <c r="F251" s="4610" t="s">
        <v>4418</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4419</v>
      </c>
    </row>
    <row r="252" spans="2:65" s="2070" customFormat="1" ht="37.9" customHeight="1">
      <c r="B252" s="2164"/>
      <c r="C252" s="4608" t="s">
        <v>2152</v>
      </c>
      <c r="D252" s="4608" t="s">
        <v>3286</v>
      </c>
      <c r="E252" s="4609" t="s">
        <v>4420</v>
      </c>
      <c r="F252" s="4610" t="s">
        <v>4421</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4422</v>
      </c>
    </row>
    <row r="253" spans="2:65" s="2070" customFormat="1" ht="24.2" customHeight="1">
      <c r="B253" s="2164"/>
      <c r="C253" s="4608" t="s">
        <v>2569</v>
      </c>
      <c r="D253" s="4608" t="s">
        <v>3286</v>
      </c>
      <c r="E253" s="4609" t="s">
        <v>4423</v>
      </c>
      <c r="F253" s="4610" t="s">
        <v>4424</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4425</v>
      </c>
    </row>
    <row r="254" spans="2:65" s="2209" customFormat="1" ht="22.5">
      <c r="B254" s="2210"/>
      <c r="D254" s="2197" t="s">
        <v>3303</v>
      </c>
      <c r="E254" s="2211" t="s">
        <v>3146</v>
      </c>
      <c r="F254" s="2212" t="s">
        <v>4426</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4427</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4428</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4429</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11012</v>
      </c>
      <c r="F260" s="4610" t="s">
        <v>11013</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11014</v>
      </c>
    </row>
    <row r="261" spans="2:65" s="2209" customFormat="1">
      <c r="B261" s="2210"/>
      <c r="D261" s="2197" t="s">
        <v>3303</v>
      </c>
      <c r="E261" s="2211" t="s">
        <v>3146</v>
      </c>
      <c r="F261" s="2212" t="s">
        <v>4275</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4430</v>
      </c>
      <c r="F262" s="4610" t="s">
        <v>4431</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4432</v>
      </c>
    </row>
    <row r="263" spans="2:65" s="2070" customFormat="1" ht="24.2" customHeight="1">
      <c r="B263" s="2164"/>
      <c r="C263" s="4608" t="s">
        <v>2605</v>
      </c>
      <c r="D263" s="4608" t="s">
        <v>3286</v>
      </c>
      <c r="E263" s="4609" t="s">
        <v>4433</v>
      </c>
      <c r="F263" s="4610" t="s">
        <v>4434</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4435</v>
      </c>
    </row>
    <row r="264" spans="2:65" s="2178" customFormat="1" ht="22.9" customHeight="1">
      <c r="B264" s="2179"/>
      <c r="D264" s="2180" t="s">
        <v>3212</v>
      </c>
      <c r="E264" s="2188" t="s">
        <v>4109</v>
      </c>
      <c r="F264" s="2188" t="s">
        <v>4110</v>
      </c>
      <c r="J264" s="2189">
        <f>BK264</f>
        <v>0</v>
      </c>
      <c r="L264" s="2179"/>
      <c r="M264" s="2183"/>
      <c r="P264" s="2184">
        <f>SUM(P265:P323)</f>
        <v>4002.121764</v>
      </c>
      <c r="R264" s="2184">
        <f>SUM(R265:R323)</f>
        <v>20.845976729999997</v>
      </c>
      <c r="T264" s="2185">
        <f>SUM(T265:T323)</f>
        <v>0</v>
      </c>
      <c r="AR264" s="2180" t="s">
        <v>134</v>
      </c>
      <c r="AT264" s="2186" t="s">
        <v>3212</v>
      </c>
      <c r="AU264" s="2186" t="s">
        <v>133</v>
      </c>
      <c r="AY264" s="2180" t="s">
        <v>3285</v>
      </c>
      <c r="BK264" s="2187">
        <f>SUM(BK265:BK323)</f>
        <v>0</v>
      </c>
    </row>
    <row r="265" spans="2:65" s="2070" customFormat="1" ht="21.75" customHeight="1">
      <c r="B265" s="2164"/>
      <c r="C265" s="4608" t="s">
        <v>2616</v>
      </c>
      <c r="D265" s="4608" t="s">
        <v>3286</v>
      </c>
      <c r="E265" s="4609" t="s">
        <v>4436</v>
      </c>
      <c r="F265" s="4610" t="s">
        <v>4437</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4438</v>
      </c>
    </row>
    <row r="266" spans="2:65" s="2070" customFormat="1" ht="24.2" customHeight="1">
      <c r="B266" s="2164"/>
      <c r="C266" s="4608" t="s">
        <v>3424</v>
      </c>
      <c r="D266" s="4608" t="s">
        <v>3286</v>
      </c>
      <c r="E266" s="4609" t="s">
        <v>4439</v>
      </c>
      <c r="F266" s="4610" t="s">
        <v>4440</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4441</v>
      </c>
    </row>
    <row r="267" spans="2:65" s="2209" customFormat="1">
      <c r="B267" s="2210"/>
      <c r="D267" s="2197" t="s">
        <v>3303</v>
      </c>
      <c r="E267" s="2211" t="s">
        <v>3146</v>
      </c>
      <c r="F267" s="2212" t="s">
        <v>4442</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4443</v>
      </c>
      <c r="F268" s="4610" t="s">
        <v>4444</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4445</v>
      </c>
    </row>
    <row r="269" spans="2:65" s="2070" customFormat="1" ht="24.2" customHeight="1">
      <c r="B269" s="2164"/>
      <c r="C269" s="4608" t="s">
        <v>2653</v>
      </c>
      <c r="D269" s="4608" t="s">
        <v>3286</v>
      </c>
      <c r="E269" s="4609" t="s">
        <v>4446</v>
      </c>
      <c r="F269" s="4610" t="s">
        <v>4447</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4448</v>
      </c>
    </row>
    <row r="270" spans="2:65" s="2070" customFormat="1" ht="24.2" customHeight="1">
      <c r="B270" s="2164"/>
      <c r="C270" s="4608" t="s">
        <v>2661</v>
      </c>
      <c r="D270" s="4608" t="s">
        <v>3286</v>
      </c>
      <c r="E270" s="4609" t="s">
        <v>4449</v>
      </c>
      <c r="F270" s="4610" t="s">
        <v>4450</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4451</v>
      </c>
    </row>
    <row r="271" spans="2:65" s="2070" customFormat="1" ht="24.2" customHeight="1">
      <c r="B271" s="2164"/>
      <c r="C271" s="4608" t="s">
        <v>2417</v>
      </c>
      <c r="D271" s="4608" t="s">
        <v>3286</v>
      </c>
      <c r="E271" s="4609" t="s">
        <v>4452</v>
      </c>
      <c r="F271" s="4610" t="s">
        <v>4453</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4454</v>
      </c>
    </row>
    <row r="272" spans="2:65" s="2070" customFormat="1" ht="33" customHeight="1">
      <c r="B272" s="2164"/>
      <c r="C272" s="4608" t="s">
        <v>1787</v>
      </c>
      <c r="D272" s="4608" t="s">
        <v>3286</v>
      </c>
      <c r="E272" s="4609" t="s">
        <v>4455</v>
      </c>
      <c r="F272" s="4610" t="s">
        <v>4456</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4457</v>
      </c>
    </row>
    <row r="273" spans="2:65" s="2070" customFormat="1" ht="37.9" customHeight="1">
      <c r="B273" s="2164"/>
      <c r="C273" s="4608" t="s">
        <v>3472</v>
      </c>
      <c r="D273" s="4608" t="s">
        <v>3286</v>
      </c>
      <c r="E273" s="4609" t="s">
        <v>4458</v>
      </c>
      <c r="F273" s="4610" t="s">
        <v>4459</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4460</v>
      </c>
    </row>
    <row r="274" spans="2:65" s="2070" customFormat="1" ht="16.5" customHeight="1">
      <c r="B274" s="2164"/>
      <c r="C274" s="4608" t="s">
        <v>2191</v>
      </c>
      <c r="D274" s="4608" t="s">
        <v>3286</v>
      </c>
      <c r="E274" s="4609" t="s">
        <v>4461</v>
      </c>
      <c r="F274" s="4610" t="s">
        <v>4462</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4463</v>
      </c>
    </row>
    <row r="275" spans="2:65" s="2070" customFormat="1" ht="24.2" customHeight="1">
      <c r="B275" s="2164"/>
      <c r="C275" s="4608" t="s">
        <v>3482</v>
      </c>
      <c r="D275" s="4608" t="s">
        <v>3286</v>
      </c>
      <c r="E275" s="4609" t="s">
        <v>11015</v>
      </c>
      <c r="F275" s="4610" t="s">
        <v>11016</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4464</v>
      </c>
    </row>
    <row r="276" spans="2:65" s="2209" customFormat="1">
      <c r="B276" s="2210"/>
      <c r="D276" s="2197" t="s">
        <v>3303</v>
      </c>
      <c r="E276" s="2211" t="s">
        <v>3146</v>
      </c>
      <c r="F276" s="2212" t="s">
        <v>4465</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11017</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3485</v>
      </c>
      <c r="D279" s="4614" t="s">
        <v>135</v>
      </c>
      <c r="E279" s="4615" t="s">
        <v>4466</v>
      </c>
      <c r="F279" s="4616" t="s">
        <v>4467</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4468</v>
      </c>
    </row>
    <row r="280" spans="2:65" s="2209" customFormat="1">
      <c r="B280" s="2210"/>
      <c r="D280" s="2197" t="s">
        <v>3303</v>
      </c>
      <c r="F280" s="2212" t="s">
        <v>11018</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11015</v>
      </c>
      <c r="F281" s="4610" t="s">
        <v>11016</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4469</v>
      </c>
    </row>
    <row r="282" spans="2:65" s="2209" customFormat="1">
      <c r="B282" s="2210"/>
      <c r="D282" s="2197" t="s">
        <v>3303</v>
      </c>
      <c r="E282" s="2211" t="s">
        <v>3146</v>
      </c>
      <c r="F282" s="2212" t="s">
        <v>4271</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4614" t="s">
        <v>1452</v>
      </c>
      <c r="D284" s="4614" t="s">
        <v>135</v>
      </c>
      <c r="E284" s="4615" t="s">
        <v>4470</v>
      </c>
      <c r="F284" s="4616" t="s">
        <v>4471</v>
      </c>
      <c r="G284" s="4617" t="s">
        <v>611</v>
      </c>
      <c r="H284" s="4618">
        <v>68.188999999999993</v>
      </c>
      <c r="I284" s="4619"/>
      <c r="J284" s="4619">
        <f>ROUND(I284*H284,2)</f>
        <v>0</v>
      </c>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4472</v>
      </c>
    </row>
    <row r="285" spans="2:65" s="2209" customFormat="1">
      <c r="B285" s="2210"/>
      <c r="D285" s="2197" t="s">
        <v>3303</v>
      </c>
      <c r="F285" s="2212" t="s">
        <v>4473</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24.2" customHeight="1">
      <c r="B286" s="2164"/>
      <c r="C286" s="4608" t="s">
        <v>3497</v>
      </c>
      <c r="D286" s="4608" t="s">
        <v>3286</v>
      </c>
      <c r="E286" s="4609" t="s">
        <v>11019</v>
      </c>
      <c r="F286" s="4610" t="s">
        <v>11020</v>
      </c>
      <c r="G286" s="4611" t="s">
        <v>141</v>
      </c>
      <c r="H286" s="4612">
        <v>1003.105</v>
      </c>
      <c r="I286" s="4613"/>
      <c r="J286" s="4613">
        <f>ROUND(I286*H286,2)</f>
        <v>0</v>
      </c>
      <c r="K286" s="4610" t="s">
        <v>142</v>
      </c>
      <c r="L286" s="2071"/>
      <c r="M286" s="2190" t="s">
        <v>3146</v>
      </c>
      <c r="N286" s="2163" t="s">
        <v>3181</v>
      </c>
      <c r="O286" s="2191">
        <v>9.8000000000000004E-2</v>
      </c>
      <c r="P286" s="2191">
        <f>O286*H286</f>
        <v>98.304290000000009</v>
      </c>
      <c r="Q286" s="2191">
        <v>2.0000000000000002E-5</v>
      </c>
      <c r="R286" s="2191">
        <f>Q286*H286</f>
        <v>2.0062100000000003E-2</v>
      </c>
      <c r="S286" s="2191">
        <v>0</v>
      </c>
      <c r="T286" s="2192">
        <f>S286*H286</f>
        <v>0</v>
      </c>
      <c r="AR286" s="2193" t="s">
        <v>2894</v>
      </c>
      <c r="AT286" s="2193" t="s">
        <v>3286</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11021</v>
      </c>
    </row>
    <row r="287" spans="2:65" s="2209" customFormat="1">
      <c r="B287" s="2210"/>
      <c r="D287" s="2197" t="s">
        <v>3303</v>
      </c>
      <c r="E287" s="2211" t="s">
        <v>3146</v>
      </c>
      <c r="F287" s="2212" t="s">
        <v>11022</v>
      </c>
      <c r="H287" s="2213">
        <v>1003.105</v>
      </c>
      <c r="L287" s="2210"/>
      <c r="M287" s="2214"/>
      <c r="T287" s="2215"/>
      <c r="AT287" s="2211" t="s">
        <v>3303</v>
      </c>
      <c r="AU287" s="2211" t="s">
        <v>134</v>
      </c>
      <c r="AV287" s="2209" t="s">
        <v>134</v>
      </c>
      <c r="AW287" s="2209" t="s">
        <v>3171</v>
      </c>
      <c r="AX287" s="2209" t="s">
        <v>133</v>
      </c>
      <c r="AY287" s="2211" t="s">
        <v>3285</v>
      </c>
    </row>
    <row r="288" spans="2:65" s="2070" customFormat="1" ht="24.2" customHeight="1">
      <c r="B288" s="2164"/>
      <c r="C288" s="4608" t="s">
        <v>3502</v>
      </c>
      <c r="D288" s="4608" t="s">
        <v>3286</v>
      </c>
      <c r="E288" s="4609" t="s">
        <v>4474</v>
      </c>
      <c r="F288" s="4610" t="s">
        <v>4475</v>
      </c>
      <c r="G288" s="4611" t="s">
        <v>141</v>
      </c>
      <c r="H288" s="4612">
        <v>126</v>
      </c>
      <c r="I288" s="4613"/>
      <c r="J288" s="4613">
        <f>ROUND(I288*H288,2)</f>
        <v>0</v>
      </c>
      <c r="K288" s="4610" t="s">
        <v>142</v>
      </c>
      <c r="L288" s="2071"/>
      <c r="M288" s="2190" t="s">
        <v>3146</v>
      </c>
      <c r="N288" s="2163" t="s">
        <v>3181</v>
      </c>
      <c r="O288" s="2191">
        <v>0.189</v>
      </c>
      <c r="P288" s="2191">
        <f>O288*H288</f>
        <v>23.814</v>
      </c>
      <c r="Q288" s="2191">
        <v>1.2E-4</v>
      </c>
      <c r="R288" s="2191">
        <f>Q288*H288</f>
        <v>1.512E-2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4476</v>
      </c>
    </row>
    <row r="289" spans="2:65" s="2209" customFormat="1">
      <c r="B289" s="2210"/>
      <c r="D289" s="2197" t="s">
        <v>3303</v>
      </c>
      <c r="E289" s="2211" t="s">
        <v>3146</v>
      </c>
      <c r="F289" s="2212" t="s">
        <v>4477</v>
      </c>
      <c r="H289" s="2213">
        <v>126</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14" t="s">
        <v>2225</v>
      </c>
      <c r="D290" s="4614" t="s">
        <v>135</v>
      </c>
      <c r="E290" s="4615" t="s">
        <v>4466</v>
      </c>
      <c r="F290" s="4616" t="s">
        <v>4467</v>
      </c>
      <c r="G290" s="4617" t="s">
        <v>611</v>
      </c>
      <c r="H290" s="4618">
        <v>41.58</v>
      </c>
      <c r="I290" s="4619"/>
      <c r="J290" s="4619">
        <f>ROUND(I290*H290,2)</f>
        <v>0</v>
      </c>
      <c r="K290" s="4616" t="s">
        <v>142</v>
      </c>
      <c r="L290" s="2223"/>
      <c r="M290" s="2224" t="s">
        <v>3146</v>
      </c>
      <c r="N290" s="2225" t="s">
        <v>3181</v>
      </c>
      <c r="O290" s="2191">
        <v>0</v>
      </c>
      <c r="P290" s="2191">
        <f>O290*H290</f>
        <v>0</v>
      </c>
      <c r="Q290" s="2191">
        <v>3.3999999999999998E-3</v>
      </c>
      <c r="R290" s="2191">
        <f>Q290*H290</f>
        <v>0.141372</v>
      </c>
      <c r="S290" s="2191">
        <v>0</v>
      </c>
      <c r="T290" s="2192">
        <f>S290*H290</f>
        <v>0</v>
      </c>
      <c r="AR290" s="2193" t="s">
        <v>3389</v>
      </c>
      <c r="AT290" s="2193" t="s">
        <v>135</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4478</v>
      </c>
    </row>
    <row r="291" spans="2:65" s="2209" customFormat="1">
      <c r="B291" s="2210"/>
      <c r="D291" s="2197" t="s">
        <v>3303</v>
      </c>
      <c r="F291" s="2212" t="s">
        <v>4479</v>
      </c>
      <c r="H291" s="2213">
        <v>41.58</v>
      </c>
      <c r="L291" s="2210"/>
      <c r="M291" s="2214"/>
      <c r="T291" s="2215"/>
      <c r="AT291" s="2211" t="s">
        <v>3303</v>
      </c>
      <c r="AU291" s="2211" t="s">
        <v>134</v>
      </c>
      <c r="AV291" s="2209" t="s">
        <v>134</v>
      </c>
      <c r="AW291" s="2209" t="s">
        <v>3148</v>
      </c>
      <c r="AX291" s="2209" t="s">
        <v>133</v>
      </c>
      <c r="AY291" s="2211" t="s">
        <v>3285</v>
      </c>
    </row>
    <row r="292" spans="2:65" s="2070" customFormat="1" ht="24.2" customHeight="1">
      <c r="B292" s="2164"/>
      <c r="C292" s="4608" t="s">
        <v>2743</v>
      </c>
      <c r="D292" s="4608" t="s">
        <v>3286</v>
      </c>
      <c r="E292" s="4609" t="s">
        <v>4480</v>
      </c>
      <c r="F292" s="4610" t="s">
        <v>4481</v>
      </c>
      <c r="G292" s="4611" t="s">
        <v>141</v>
      </c>
      <c r="H292" s="4612">
        <v>126</v>
      </c>
      <c r="I292" s="4613"/>
      <c r="J292" s="4613">
        <f>ROUND(I292*H292,2)</f>
        <v>0</v>
      </c>
      <c r="K292" s="4610" t="s">
        <v>142</v>
      </c>
      <c r="L292" s="2071"/>
      <c r="M292" s="2190" t="s">
        <v>3146</v>
      </c>
      <c r="N292" s="2163" t="s">
        <v>3181</v>
      </c>
      <c r="O292" s="2191">
        <v>0.28299999999999997</v>
      </c>
      <c r="P292" s="2191">
        <f>O292*H292</f>
        <v>35.657999999999994</v>
      </c>
      <c r="Q292" s="2191">
        <v>8.0000000000000007E-5</v>
      </c>
      <c r="R292" s="2191">
        <f>Q292*H292</f>
        <v>1.008E-2</v>
      </c>
      <c r="S292" s="2191">
        <v>0</v>
      </c>
      <c r="T292" s="2192">
        <f>S292*H292</f>
        <v>0</v>
      </c>
      <c r="AR292" s="2193" t="s">
        <v>2894</v>
      </c>
      <c r="AT292" s="2193" t="s">
        <v>3286</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4482</v>
      </c>
    </row>
    <row r="293" spans="2:65" s="2070" customFormat="1" ht="24.2" customHeight="1">
      <c r="B293" s="2164"/>
      <c r="C293" s="4614" t="s">
        <v>2750</v>
      </c>
      <c r="D293" s="4614" t="s">
        <v>135</v>
      </c>
      <c r="E293" s="4615" t="s">
        <v>4466</v>
      </c>
      <c r="F293" s="4616" t="s">
        <v>4467</v>
      </c>
      <c r="G293" s="4617" t="s">
        <v>611</v>
      </c>
      <c r="H293" s="4618">
        <v>27.72</v>
      </c>
      <c r="I293" s="4619"/>
      <c r="J293" s="4619">
        <f>ROUND(I293*H293,2)</f>
        <v>0</v>
      </c>
      <c r="K293" s="4616" t="s">
        <v>142</v>
      </c>
      <c r="L293" s="2223"/>
      <c r="M293" s="2224" t="s">
        <v>3146</v>
      </c>
      <c r="N293" s="2225" t="s">
        <v>3181</v>
      </c>
      <c r="O293" s="2191">
        <v>0</v>
      </c>
      <c r="P293" s="2191">
        <f>O293*H293</f>
        <v>0</v>
      </c>
      <c r="Q293" s="2191">
        <v>3.3999999999999998E-3</v>
      </c>
      <c r="R293" s="2191">
        <f>Q293*H293</f>
        <v>9.4247999999999985E-2</v>
      </c>
      <c r="S293" s="2191">
        <v>0</v>
      </c>
      <c r="T293" s="2192">
        <f>S293*H293</f>
        <v>0</v>
      </c>
      <c r="AR293" s="2193" t="s">
        <v>3389</v>
      </c>
      <c r="AT293" s="2193" t="s">
        <v>135</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4483</v>
      </c>
    </row>
    <row r="294" spans="2:65" s="2209" customFormat="1">
      <c r="B294" s="2210"/>
      <c r="D294" s="2197" t="s">
        <v>3303</v>
      </c>
      <c r="F294" s="2212" t="s">
        <v>4484</v>
      </c>
      <c r="H294" s="2213">
        <v>27.72</v>
      </c>
      <c r="L294" s="2210"/>
      <c r="M294" s="2214"/>
      <c r="T294" s="2215"/>
      <c r="AT294" s="2211" t="s">
        <v>3303</v>
      </c>
      <c r="AU294" s="2211" t="s">
        <v>134</v>
      </c>
      <c r="AV294" s="2209" t="s">
        <v>134</v>
      </c>
      <c r="AW294" s="2209" t="s">
        <v>3148</v>
      </c>
      <c r="AX294" s="2209" t="s">
        <v>133</v>
      </c>
      <c r="AY294" s="2211" t="s">
        <v>3285</v>
      </c>
    </row>
    <row r="295" spans="2:65" s="2070" customFormat="1" ht="24.2" customHeight="1">
      <c r="B295" s="2164"/>
      <c r="C295" s="4608" t="s">
        <v>2756</v>
      </c>
      <c r="D295" s="4608" t="s">
        <v>3286</v>
      </c>
      <c r="E295" s="4609" t="s">
        <v>4485</v>
      </c>
      <c r="F295" s="4610" t="s">
        <v>4486</v>
      </c>
      <c r="G295" s="4611" t="s">
        <v>141</v>
      </c>
      <c r="H295" s="4612">
        <v>3549.2350000000001</v>
      </c>
      <c r="I295" s="4613"/>
      <c r="J295" s="4613">
        <f>ROUND(I295*H295,2)</f>
        <v>0</v>
      </c>
      <c r="K295" s="4610" t="s">
        <v>142</v>
      </c>
      <c r="L295" s="2071"/>
      <c r="M295" s="2190" t="s">
        <v>3146</v>
      </c>
      <c r="N295" s="2163" t="s">
        <v>3181</v>
      </c>
      <c r="O295" s="2191">
        <v>0.38900000000000001</v>
      </c>
      <c r="P295" s="2191">
        <f>O295*H295</f>
        <v>1380.652415</v>
      </c>
      <c r="Q295" s="2191">
        <v>6.0000000000000002E-5</v>
      </c>
      <c r="R295" s="2191">
        <f>Q295*H295</f>
        <v>0.21295410000000001</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4487</v>
      </c>
    </row>
    <row r="296" spans="2:65" s="2209" customFormat="1">
      <c r="B296" s="2210"/>
      <c r="D296" s="2197" t="s">
        <v>3303</v>
      </c>
      <c r="E296" s="2211" t="s">
        <v>3146</v>
      </c>
      <c r="F296" s="2212" t="s">
        <v>4488</v>
      </c>
      <c r="H296" s="2213">
        <v>59.164999999999999</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4489</v>
      </c>
      <c r="H297" s="2213">
        <v>880.41</v>
      </c>
      <c r="L297" s="2210"/>
      <c r="M297" s="2214"/>
      <c r="T297" s="2215"/>
      <c r="AT297" s="2211" t="s">
        <v>3303</v>
      </c>
      <c r="AU297" s="2211" t="s">
        <v>134</v>
      </c>
      <c r="AV297" s="2209" t="s">
        <v>134</v>
      </c>
      <c r="AW297" s="2209" t="s">
        <v>3171</v>
      </c>
      <c r="AX297" s="2209" t="s">
        <v>3213</v>
      </c>
      <c r="AY297" s="2211" t="s">
        <v>3285</v>
      </c>
    </row>
    <row r="298" spans="2:65" s="2209" customFormat="1" ht="33.75">
      <c r="B298" s="2210"/>
      <c r="D298" s="2197" t="s">
        <v>3303</v>
      </c>
      <c r="E298" s="2211" t="s">
        <v>3146</v>
      </c>
      <c r="F298" s="2212" t="s">
        <v>4490</v>
      </c>
      <c r="H298" s="2213">
        <v>178.56</v>
      </c>
      <c r="L298" s="2210"/>
      <c r="M298" s="2214"/>
      <c r="T298" s="2215"/>
      <c r="AT298" s="2211" t="s">
        <v>3303</v>
      </c>
      <c r="AU298" s="2211" t="s">
        <v>134</v>
      </c>
      <c r="AV298" s="2209" t="s">
        <v>134</v>
      </c>
      <c r="AW298" s="2209" t="s">
        <v>3171</v>
      </c>
      <c r="AX298" s="2209" t="s">
        <v>3213</v>
      </c>
      <c r="AY298" s="2211" t="s">
        <v>3285</v>
      </c>
    </row>
    <row r="299" spans="2:65" s="2209" customFormat="1" ht="22.5">
      <c r="B299" s="2210"/>
      <c r="D299" s="2197" t="s">
        <v>3303</v>
      </c>
      <c r="E299" s="2211" t="s">
        <v>3146</v>
      </c>
      <c r="F299" s="2212" t="s">
        <v>4491</v>
      </c>
      <c r="H299" s="2213">
        <v>215.45</v>
      </c>
      <c r="L299" s="2210"/>
      <c r="M299" s="2214"/>
      <c r="T299" s="2215"/>
      <c r="AT299" s="2211" t="s">
        <v>3303</v>
      </c>
      <c r="AU299" s="2211" t="s">
        <v>134</v>
      </c>
      <c r="AV299" s="2209" t="s">
        <v>134</v>
      </c>
      <c r="AW299" s="2209" t="s">
        <v>3171</v>
      </c>
      <c r="AX299" s="2209" t="s">
        <v>3213</v>
      </c>
      <c r="AY299" s="2211" t="s">
        <v>3285</v>
      </c>
    </row>
    <row r="300" spans="2:65" s="2209" customFormat="1" ht="22.5">
      <c r="B300" s="2210"/>
      <c r="D300" s="2197" t="s">
        <v>3303</v>
      </c>
      <c r="E300" s="2211" t="s">
        <v>3146</v>
      </c>
      <c r="F300" s="2212" t="s">
        <v>4492</v>
      </c>
      <c r="H300" s="2213">
        <v>362.3</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4493</v>
      </c>
      <c r="H301" s="2213">
        <v>92.7</v>
      </c>
      <c r="L301" s="2210"/>
      <c r="M301" s="2214"/>
      <c r="T301" s="2215"/>
      <c r="AT301" s="2211" t="s">
        <v>3303</v>
      </c>
      <c r="AU301" s="2211" t="s">
        <v>134</v>
      </c>
      <c r="AV301" s="2209" t="s">
        <v>134</v>
      </c>
      <c r="AW301" s="2209" t="s">
        <v>3171</v>
      </c>
      <c r="AX301" s="2209" t="s">
        <v>3213</v>
      </c>
      <c r="AY301" s="2211" t="s">
        <v>3285</v>
      </c>
    </row>
    <row r="302" spans="2:65" s="2209" customFormat="1" ht="33.75">
      <c r="B302" s="2210"/>
      <c r="D302" s="2197" t="s">
        <v>3303</v>
      </c>
      <c r="E302" s="2211" t="s">
        <v>3146</v>
      </c>
      <c r="F302" s="2212" t="s">
        <v>4494</v>
      </c>
      <c r="H302" s="2213">
        <v>182.4</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4495</v>
      </c>
      <c r="H303" s="2213">
        <v>127.4</v>
      </c>
      <c r="L303" s="2210"/>
      <c r="M303" s="2214"/>
      <c r="T303" s="2215"/>
      <c r="AT303" s="2211" t="s">
        <v>3303</v>
      </c>
      <c r="AU303" s="2211" t="s">
        <v>134</v>
      </c>
      <c r="AV303" s="2209" t="s">
        <v>134</v>
      </c>
      <c r="AW303" s="2209" t="s">
        <v>3171</v>
      </c>
      <c r="AX303" s="2209" t="s">
        <v>3213</v>
      </c>
      <c r="AY303" s="2211" t="s">
        <v>3285</v>
      </c>
    </row>
    <row r="304" spans="2:65" s="2209" customFormat="1" ht="22.5">
      <c r="B304" s="2210"/>
      <c r="D304" s="2197" t="s">
        <v>3303</v>
      </c>
      <c r="E304" s="2211" t="s">
        <v>3146</v>
      </c>
      <c r="F304" s="2212" t="s">
        <v>4496</v>
      </c>
      <c r="H304" s="2213">
        <v>325.89999999999998</v>
      </c>
      <c r="L304" s="2210"/>
      <c r="M304" s="2214"/>
      <c r="T304" s="2215"/>
      <c r="AT304" s="2211" t="s">
        <v>3303</v>
      </c>
      <c r="AU304" s="2211" t="s">
        <v>134</v>
      </c>
      <c r="AV304" s="2209" t="s">
        <v>134</v>
      </c>
      <c r="AW304" s="2209" t="s">
        <v>3171</v>
      </c>
      <c r="AX304" s="2209" t="s">
        <v>3213</v>
      </c>
      <c r="AY304" s="2211" t="s">
        <v>3285</v>
      </c>
    </row>
    <row r="305" spans="2:65" s="2209" customFormat="1" ht="33.75">
      <c r="B305" s="2210"/>
      <c r="D305" s="2197" t="s">
        <v>3303</v>
      </c>
      <c r="E305" s="2211" t="s">
        <v>3146</v>
      </c>
      <c r="F305" s="2212" t="s">
        <v>4497</v>
      </c>
      <c r="H305" s="2213">
        <v>406.1</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4498</v>
      </c>
      <c r="H306" s="2213">
        <v>19.8</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4499</v>
      </c>
      <c r="H307" s="2213">
        <v>7.2</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4500</v>
      </c>
      <c r="H308" s="2213">
        <v>15.8</v>
      </c>
      <c r="L308" s="2210"/>
      <c r="M308" s="2214"/>
      <c r="T308" s="2215"/>
      <c r="AT308" s="2211" t="s">
        <v>3303</v>
      </c>
      <c r="AU308" s="2211" t="s">
        <v>134</v>
      </c>
      <c r="AV308" s="2209" t="s">
        <v>134</v>
      </c>
      <c r="AW308" s="2209" t="s">
        <v>3171</v>
      </c>
      <c r="AX308" s="2209" t="s">
        <v>3213</v>
      </c>
      <c r="AY308" s="2211" t="s">
        <v>3285</v>
      </c>
    </row>
    <row r="309" spans="2:65" s="2209" customFormat="1" ht="22.5">
      <c r="B309" s="2210"/>
      <c r="D309" s="2197" t="s">
        <v>3303</v>
      </c>
      <c r="E309" s="2211" t="s">
        <v>3146</v>
      </c>
      <c r="F309" s="2212" t="s">
        <v>4501</v>
      </c>
      <c r="H309" s="2213">
        <v>101.1</v>
      </c>
      <c r="L309" s="2210"/>
      <c r="M309" s="2214"/>
      <c r="T309" s="2215"/>
      <c r="AT309" s="2211" t="s">
        <v>3303</v>
      </c>
      <c r="AU309" s="2211" t="s">
        <v>134</v>
      </c>
      <c r="AV309" s="2209" t="s">
        <v>134</v>
      </c>
      <c r="AW309" s="2209" t="s">
        <v>3171</v>
      </c>
      <c r="AX309" s="2209" t="s">
        <v>3213</v>
      </c>
      <c r="AY309" s="2211" t="s">
        <v>3285</v>
      </c>
    </row>
    <row r="310" spans="2:65" s="2209" customFormat="1" ht="33.75">
      <c r="B310" s="2210"/>
      <c r="D310" s="2197" t="s">
        <v>3303</v>
      </c>
      <c r="E310" s="2211" t="s">
        <v>3146</v>
      </c>
      <c r="F310" s="2212" t="s">
        <v>4502</v>
      </c>
      <c r="H310" s="2213">
        <v>195.5</v>
      </c>
      <c r="L310" s="2210"/>
      <c r="M310" s="2214"/>
      <c r="T310" s="2215"/>
      <c r="AT310" s="2211" t="s">
        <v>3303</v>
      </c>
      <c r="AU310" s="2211" t="s">
        <v>134</v>
      </c>
      <c r="AV310" s="2209" t="s">
        <v>134</v>
      </c>
      <c r="AW310" s="2209" t="s">
        <v>3171</v>
      </c>
      <c r="AX310" s="2209" t="s">
        <v>3213</v>
      </c>
      <c r="AY310" s="2211" t="s">
        <v>3285</v>
      </c>
    </row>
    <row r="311" spans="2:65" s="2209" customFormat="1" ht="33.75">
      <c r="B311" s="2210"/>
      <c r="D311" s="2197" t="s">
        <v>3303</v>
      </c>
      <c r="E311" s="2211" t="s">
        <v>3146</v>
      </c>
      <c r="F311" s="2212" t="s">
        <v>4503</v>
      </c>
      <c r="H311" s="2213">
        <v>198</v>
      </c>
      <c r="L311" s="2210"/>
      <c r="M311" s="2214"/>
      <c r="T311" s="2215"/>
      <c r="AT311" s="2211" t="s">
        <v>3303</v>
      </c>
      <c r="AU311" s="2211" t="s">
        <v>134</v>
      </c>
      <c r="AV311" s="2209" t="s">
        <v>134</v>
      </c>
      <c r="AW311" s="2209" t="s">
        <v>3171</v>
      </c>
      <c r="AX311" s="2209" t="s">
        <v>3213</v>
      </c>
      <c r="AY311" s="2211" t="s">
        <v>3285</v>
      </c>
    </row>
    <row r="312" spans="2:65" s="2209" customFormat="1" ht="22.5">
      <c r="B312" s="2210"/>
      <c r="D312" s="2197" t="s">
        <v>3303</v>
      </c>
      <c r="E312" s="2211" t="s">
        <v>3146</v>
      </c>
      <c r="F312" s="2212" t="s">
        <v>4504</v>
      </c>
      <c r="H312" s="2213">
        <v>181.45</v>
      </c>
      <c r="L312" s="2210"/>
      <c r="M312" s="2214"/>
      <c r="T312" s="2215"/>
      <c r="AT312" s="2211" t="s">
        <v>3303</v>
      </c>
      <c r="AU312" s="2211" t="s">
        <v>134</v>
      </c>
      <c r="AV312" s="2209" t="s">
        <v>134</v>
      </c>
      <c r="AW312" s="2209" t="s">
        <v>3171</v>
      </c>
      <c r="AX312" s="2209" t="s">
        <v>3213</v>
      </c>
      <c r="AY312" s="2211" t="s">
        <v>3285</v>
      </c>
    </row>
    <row r="313" spans="2:65" s="2216" customFormat="1">
      <c r="B313" s="2217"/>
      <c r="D313" s="2197" t="s">
        <v>3303</v>
      </c>
      <c r="E313" s="2218" t="s">
        <v>3146</v>
      </c>
      <c r="F313" s="2219" t="s">
        <v>3306</v>
      </c>
      <c r="H313" s="2220">
        <v>3549.2350000000001</v>
      </c>
      <c r="L313" s="2217"/>
      <c r="M313" s="2221"/>
      <c r="T313" s="2222"/>
      <c r="AT313" s="2218" t="s">
        <v>3303</v>
      </c>
      <c r="AU313" s="2218" t="s">
        <v>134</v>
      </c>
      <c r="AV313" s="2216" t="s">
        <v>856</v>
      </c>
      <c r="AW313" s="2216" t="s">
        <v>3171</v>
      </c>
      <c r="AX313" s="2216" t="s">
        <v>133</v>
      </c>
      <c r="AY313" s="2218" t="s">
        <v>3285</v>
      </c>
    </row>
    <row r="314" spans="2:65" s="2070" customFormat="1" ht="24.2" customHeight="1">
      <c r="B314" s="2164"/>
      <c r="C314" s="4614" t="s">
        <v>2758</v>
      </c>
      <c r="D314" s="4614" t="s">
        <v>135</v>
      </c>
      <c r="E314" s="4615" t="s">
        <v>4466</v>
      </c>
      <c r="F314" s="4616" t="s">
        <v>4467</v>
      </c>
      <c r="G314" s="4617" t="s">
        <v>611</v>
      </c>
      <c r="H314" s="4618">
        <v>408.16199999999998</v>
      </c>
      <c r="I314" s="4619"/>
      <c r="J314" s="4619">
        <f>ROUND(I314*H314,2)</f>
        <v>0</v>
      </c>
      <c r="K314" s="4616" t="s">
        <v>142</v>
      </c>
      <c r="L314" s="2223"/>
      <c r="M314" s="2224" t="s">
        <v>3146</v>
      </c>
      <c r="N314" s="2225" t="s">
        <v>3181</v>
      </c>
      <c r="O314" s="2191">
        <v>0</v>
      </c>
      <c r="P314" s="2191">
        <f>O314*H314</f>
        <v>0</v>
      </c>
      <c r="Q314" s="2191">
        <v>3.3999999999999998E-3</v>
      </c>
      <c r="R314" s="2191">
        <f>Q314*H314</f>
        <v>1.3877507999999998</v>
      </c>
      <c r="S314" s="2191">
        <v>0</v>
      </c>
      <c r="T314" s="2192">
        <f>S314*H314</f>
        <v>0</v>
      </c>
      <c r="AR314" s="2193" t="s">
        <v>3389</v>
      </c>
      <c r="AT314" s="2193" t="s">
        <v>135</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4505</v>
      </c>
    </row>
    <row r="315" spans="2:65" s="2209" customFormat="1">
      <c r="B315" s="2210"/>
      <c r="D315" s="2197" t="s">
        <v>3303</v>
      </c>
      <c r="F315" s="2212" t="s">
        <v>4506</v>
      </c>
      <c r="H315" s="2213">
        <v>408.16199999999998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t="s">
        <v>2765</v>
      </c>
      <c r="D316" s="4608" t="s">
        <v>3286</v>
      </c>
      <c r="E316" s="4609" t="s">
        <v>11023</v>
      </c>
      <c r="F316" s="4610" t="s">
        <v>11024</v>
      </c>
      <c r="G316" s="4611" t="s">
        <v>141</v>
      </c>
      <c r="H316" s="4612">
        <v>3549.2350000000001</v>
      </c>
      <c r="I316" s="4613"/>
      <c r="J316" s="4613">
        <f>ROUND(I316*H316,2)</f>
        <v>0</v>
      </c>
      <c r="K316" s="4610" t="s">
        <v>142</v>
      </c>
      <c r="L316" s="2071"/>
      <c r="M316" s="2190" t="s">
        <v>3146</v>
      </c>
      <c r="N316" s="2163" t="s">
        <v>3181</v>
      </c>
      <c r="O316" s="2191">
        <v>0.18099999999999999</v>
      </c>
      <c r="P316" s="2191">
        <f>O316*H316</f>
        <v>642.41153499999996</v>
      </c>
      <c r="Q316" s="2191">
        <v>1.0000000000000001E-5</v>
      </c>
      <c r="R316" s="2191">
        <f>Q316*H316</f>
        <v>3.5492350000000006E-2</v>
      </c>
      <c r="S316" s="2191">
        <v>0</v>
      </c>
      <c r="T316" s="2192">
        <f>S316*H316</f>
        <v>0</v>
      </c>
      <c r="AR316" s="2193" t="s">
        <v>2894</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11025</v>
      </c>
    </row>
    <row r="317" spans="2:65" s="2070" customFormat="1" ht="16.5" customHeight="1">
      <c r="B317" s="2164"/>
      <c r="C317" s="4614" t="s">
        <v>2999</v>
      </c>
      <c r="D317" s="4614" t="s">
        <v>135</v>
      </c>
      <c r="E317" s="4615" t="s">
        <v>11026</v>
      </c>
      <c r="F317" s="4616" t="s">
        <v>11027</v>
      </c>
      <c r="G317" s="4617" t="s">
        <v>141</v>
      </c>
      <c r="H317" s="4618">
        <v>3833.174</v>
      </c>
      <c r="I317" s="4619"/>
      <c r="J317" s="4619">
        <f>ROUND(I317*H317,2)</f>
        <v>0</v>
      </c>
      <c r="K317" s="4616" t="s">
        <v>142</v>
      </c>
      <c r="L317" s="2223"/>
      <c r="M317" s="2224" t="s">
        <v>3146</v>
      </c>
      <c r="N317" s="2225" t="s">
        <v>3181</v>
      </c>
      <c r="O317" s="2191">
        <v>0</v>
      </c>
      <c r="P317" s="2191">
        <f>O317*H317</f>
        <v>0</v>
      </c>
      <c r="Q317" s="2191">
        <v>1.2E-4</v>
      </c>
      <c r="R317" s="2191">
        <f>Q317*H317</f>
        <v>0.45998088000000004</v>
      </c>
      <c r="S317" s="2191">
        <v>0</v>
      </c>
      <c r="T317" s="2192">
        <f>S317*H317</f>
        <v>0</v>
      </c>
      <c r="AR317" s="2193" t="s">
        <v>3389</v>
      </c>
      <c r="AT317" s="2193" t="s">
        <v>135</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11028</v>
      </c>
    </row>
    <row r="318" spans="2:65" s="2209" customFormat="1">
      <c r="B318" s="2210"/>
      <c r="D318" s="2197" t="s">
        <v>3303</v>
      </c>
      <c r="F318" s="2212" t="s">
        <v>11029</v>
      </c>
      <c r="H318" s="2213">
        <v>3833.174</v>
      </c>
      <c r="L318" s="2210"/>
      <c r="M318" s="2214"/>
      <c r="T318" s="2215"/>
      <c r="AT318" s="2211" t="s">
        <v>3303</v>
      </c>
      <c r="AU318" s="2211" t="s">
        <v>134</v>
      </c>
      <c r="AV318" s="2209" t="s">
        <v>134</v>
      </c>
      <c r="AW318" s="2209" t="s">
        <v>3148</v>
      </c>
      <c r="AX318" s="2209" t="s">
        <v>133</v>
      </c>
      <c r="AY318" s="2211" t="s">
        <v>3285</v>
      </c>
    </row>
    <row r="319" spans="2:65" s="2070" customFormat="1" ht="24.2" customHeight="1">
      <c r="B319" s="2164"/>
      <c r="C319" s="4608" t="s">
        <v>2777</v>
      </c>
      <c r="D319" s="4608" t="s">
        <v>3286</v>
      </c>
      <c r="E319" s="4609" t="s">
        <v>11030</v>
      </c>
      <c r="F319" s="4610" t="s">
        <v>11031</v>
      </c>
      <c r="G319" s="4611" t="s">
        <v>611</v>
      </c>
      <c r="H319" s="4612">
        <v>2006.19</v>
      </c>
      <c r="I319" s="4613"/>
      <c r="J319" s="4613">
        <f>ROUND(I319*H319,2)</f>
        <v>0</v>
      </c>
      <c r="K319" s="4610" t="s">
        <v>142</v>
      </c>
      <c r="L319" s="2071"/>
      <c r="M319" s="2190" t="s">
        <v>3146</v>
      </c>
      <c r="N319" s="2163" t="s">
        <v>3181</v>
      </c>
      <c r="O319" s="2191">
        <v>9.8000000000000004E-2</v>
      </c>
      <c r="P319" s="2191">
        <f>O319*H319</f>
        <v>196.60662000000002</v>
      </c>
      <c r="Q319" s="2191">
        <v>0</v>
      </c>
      <c r="R319" s="2191">
        <f>Q319*H319</f>
        <v>0</v>
      </c>
      <c r="S319" s="2191">
        <v>0</v>
      </c>
      <c r="T319" s="2192">
        <f>S319*H319</f>
        <v>0</v>
      </c>
      <c r="AR319" s="2193" t="s">
        <v>2894</v>
      </c>
      <c r="AT319" s="2193" t="s">
        <v>3286</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11032</v>
      </c>
    </row>
    <row r="320" spans="2:65" s="2209" customFormat="1">
      <c r="B320" s="2210"/>
      <c r="D320" s="2197" t="s">
        <v>3303</v>
      </c>
      <c r="E320" s="2211" t="s">
        <v>3146</v>
      </c>
      <c r="F320" s="2212" t="s">
        <v>11033</v>
      </c>
      <c r="H320" s="2213">
        <v>2006.19</v>
      </c>
      <c r="L320" s="2210"/>
      <c r="M320" s="2214"/>
      <c r="T320" s="2215"/>
      <c r="AT320" s="2211" t="s">
        <v>3303</v>
      </c>
      <c r="AU320" s="2211" t="s">
        <v>134</v>
      </c>
      <c r="AV320" s="2209" t="s">
        <v>134</v>
      </c>
      <c r="AW320" s="2209" t="s">
        <v>3171</v>
      </c>
      <c r="AX320" s="2209" t="s">
        <v>133</v>
      </c>
      <c r="AY320" s="2211" t="s">
        <v>3285</v>
      </c>
    </row>
    <row r="321" spans="2:65" s="2070" customFormat="1" ht="16.5" customHeight="1">
      <c r="B321" s="2164"/>
      <c r="C321" s="4608" t="s">
        <v>3547</v>
      </c>
      <c r="D321" s="4608" t="s">
        <v>3286</v>
      </c>
      <c r="E321" s="4609" t="s">
        <v>11034</v>
      </c>
      <c r="F321" s="4610" t="s">
        <v>11035</v>
      </c>
      <c r="G321" s="4611" t="s">
        <v>611</v>
      </c>
      <c r="H321" s="4612">
        <v>2006.19</v>
      </c>
      <c r="I321" s="4613"/>
      <c r="J321" s="4613">
        <f>ROUND(I321*H321,2)</f>
        <v>0</v>
      </c>
      <c r="K321" s="4610" t="s">
        <v>142</v>
      </c>
      <c r="L321" s="2071"/>
      <c r="M321" s="2190" t="s">
        <v>3146</v>
      </c>
      <c r="N321" s="2163" t="s">
        <v>3181</v>
      </c>
      <c r="O321" s="2191">
        <v>9.9000000000000005E-2</v>
      </c>
      <c r="P321" s="2191">
        <f>O321*H321</f>
        <v>198.61281000000002</v>
      </c>
      <c r="Q321" s="2191">
        <v>3.0000000000000001E-5</v>
      </c>
      <c r="R321" s="2191">
        <f>Q321*H321</f>
        <v>6.0185700000000002E-2</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11036</v>
      </c>
    </row>
    <row r="322" spans="2:65" s="2070" customFormat="1" ht="24.2" customHeight="1">
      <c r="B322" s="2164"/>
      <c r="C322" s="4608" t="s">
        <v>3551</v>
      </c>
      <c r="D322" s="4608" t="s">
        <v>3286</v>
      </c>
      <c r="E322" s="4609" t="s">
        <v>4507</v>
      </c>
      <c r="F322" s="4610" t="s">
        <v>4508</v>
      </c>
      <c r="G322" s="4611" t="s">
        <v>302</v>
      </c>
      <c r="H322" s="4612">
        <v>20.846</v>
      </c>
      <c r="I322" s="4613"/>
      <c r="J322" s="4613">
        <f>ROUND(I322*H322,2)</f>
        <v>0</v>
      </c>
      <c r="K322" s="4610" t="s">
        <v>142</v>
      </c>
      <c r="L322" s="2071"/>
      <c r="M322" s="2190" t="s">
        <v>3146</v>
      </c>
      <c r="N322" s="2163" t="s">
        <v>3181</v>
      </c>
      <c r="O322" s="2191">
        <v>1.1140000000000001</v>
      </c>
      <c r="P322" s="2191">
        <f>O322*H322</f>
        <v>23.222444000000003</v>
      </c>
      <c r="Q322" s="2191">
        <v>0</v>
      </c>
      <c r="R322" s="2191">
        <f>Q322*H322</f>
        <v>0</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4509</v>
      </c>
    </row>
    <row r="323" spans="2:65" s="2070" customFormat="1" ht="24.2" customHeight="1">
      <c r="B323" s="2164"/>
      <c r="C323" s="4608" t="s">
        <v>3555</v>
      </c>
      <c r="D323" s="4608" t="s">
        <v>3286</v>
      </c>
      <c r="E323" s="4609" t="s">
        <v>4510</v>
      </c>
      <c r="F323" s="4610" t="s">
        <v>4511</v>
      </c>
      <c r="G323" s="4611" t="s">
        <v>302</v>
      </c>
      <c r="H323" s="4612">
        <v>20.846</v>
      </c>
      <c r="I323" s="4613"/>
      <c r="J323" s="4613">
        <f>ROUND(I323*H323,2)</f>
        <v>0</v>
      </c>
      <c r="K323" s="4610" t="s">
        <v>142</v>
      </c>
      <c r="L323" s="2071"/>
      <c r="M323" s="2190" t="s">
        <v>3146</v>
      </c>
      <c r="N323" s="2163" t="s">
        <v>3181</v>
      </c>
      <c r="O323" s="2191">
        <v>1</v>
      </c>
      <c r="P323" s="2191">
        <f>O323*H323</f>
        <v>20.846</v>
      </c>
      <c r="Q323" s="2191">
        <v>0</v>
      </c>
      <c r="R323" s="2191">
        <f>Q323*H323</f>
        <v>0</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4512</v>
      </c>
    </row>
    <row r="324" spans="2:65" s="2178" customFormat="1" ht="22.9" customHeight="1">
      <c r="B324" s="2179"/>
      <c r="D324" s="2180" t="s">
        <v>3212</v>
      </c>
      <c r="E324" s="2188" t="s">
        <v>4513</v>
      </c>
      <c r="F324" s="2188" t="s">
        <v>4514</v>
      </c>
      <c r="J324" s="2189">
        <f>BK324</f>
        <v>0</v>
      </c>
      <c r="L324" s="2179"/>
      <c r="M324" s="2183"/>
      <c r="P324" s="2184">
        <f>SUM(P325:P337)</f>
        <v>812.6201329999999</v>
      </c>
      <c r="R324" s="2184">
        <f>SUM(R325:R337)</f>
        <v>6.0368822</v>
      </c>
      <c r="T324" s="2185">
        <f>SUM(T325:T337)</f>
        <v>0</v>
      </c>
      <c r="AR324" s="2180" t="s">
        <v>134</v>
      </c>
      <c r="AT324" s="2186" t="s">
        <v>3212</v>
      </c>
      <c r="AU324" s="2186" t="s">
        <v>133</v>
      </c>
      <c r="AY324" s="2180" t="s">
        <v>3285</v>
      </c>
      <c r="BK324" s="2187">
        <f>SUM(BK325:BK337)</f>
        <v>0</v>
      </c>
    </row>
    <row r="325" spans="2:65" s="2070" customFormat="1" ht="16.5" customHeight="1">
      <c r="B325" s="2164"/>
      <c r="C325" s="4608" t="s">
        <v>3559</v>
      </c>
      <c r="D325" s="4608" t="s">
        <v>3286</v>
      </c>
      <c r="E325" s="4609" t="s">
        <v>4515</v>
      </c>
      <c r="F325" s="4610" t="s">
        <v>4516</v>
      </c>
      <c r="G325" s="4611" t="s">
        <v>611</v>
      </c>
      <c r="H325" s="4612">
        <v>558.62</v>
      </c>
      <c r="I325" s="4613"/>
      <c r="J325" s="4613">
        <f>ROUND(I325*H325,2)</f>
        <v>0</v>
      </c>
      <c r="K325" s="4610" t="s">
        <v>142</v>
      </c>
      <c r="L325" s="2071"/>
      <c r="M325" s="2190" t="s">
        <v>3146</v>
      </c>
      <c r="N325" s="2163" t="s">
        <v>3181</v>
      </c>
      <c r="O325" s="2191">
        <v>3.2000000000000001E-2</v>
      </c>
      <c r="P325" s="2191">
        <f>O325*H325</f>
        <v>17.87584</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4517</v>
      </c>
    </row>
    <row r="326" spans="2:65" s="2070" customFormat="1" ht="24.2" customHeight="1">
      <c r="B326" s="2164"/>
      <c r="C326" s="4608" t="s">
        <v>3565</v>
      </c>
      <c r="D326" s="4608" t="s">
        <v>3286</v>
      </c>
      <c r="E326" s="4609" t="s">
        <v>4518</v>
      </c>
      <c r="F326" s="4610" t="s">
        <v>4519</v>
      </c>
      <c r="G326" s="4611" t="s">
        <v>611</v>
      </c>
      <c r="H326" s="4612">
        <v>558.62</v>
      </c>
      <c r="I326" s="4613"/>
      <c r="J326" s="4613">
        <f>ROUND(I326*H326,2)</f>
        <v>0</v>
      </c>
      <c r="K326" s="4610" t="s">
        <v>142</v>
      </c>
      <c r="L326" s="2071"/>
      <c r="M326" s="2190" t="s">
        <v>3146</v>
      </c>
      <c r="N326" s="2163" t="s">
        <v>3181</v>
      </c>
      <c r="O326" s="2191">
        <v>0.20699999999999999</v>
      </c>
      <c r="P326" s="2191">
        <f>O326*H326</f>
        <v>115.63433999999999</v>
      </c>
      <c r="Q326" s="2191">
        <v>5.4000000000000003E-3</v>
      </c>
      <c r="R326" s="2191">
        <f>Q326*H326</f>
        <v>3.0165480000000002</v>
      </c>
      <c r="S326" s="2191">
        <v>0</v>
      </c>
      <c r="T326" s="2192">
        <f>S326*H326</f>
        <v>0</v>
      </c>
      <c r="AR326" s="2193" t="s">
        <v>2894</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2894</v>
      </c>
      <c r="BM326" s="2193" t="s">
        <v>4520</v>
      </c>
    </row>
    <row r="327" spans="2:65" s="2209" customFormat="1">
      <c r="B327" s="2210"/>
      <c r="D327" s="2197" t="s">
        <v>3303</v>
      </c>
      <c r="E327" s="2211" t="s">
        <v>3146</v>
      </c>
      <c r="F327" s="2212" t="s">
        <v>4259</v>
      </c>
      <c r="H327" s="2213">
        <v>558.62</v>
      </c>
      <c r="L327" s="2210"/>
      <c r="M327" s="2214"/>
      <c r="T327" s="2215"/>
      <c r="AT327" s="2211" t="s">
        <v>3303</v>
      </c>
      <c r="AU327" s="2211" t="s">
        <v>134</v>
      </c>
      <c r="AV327" s="2209" t="s">
        <v>134</v>
      </c>
      <c r="AW327" s="2209" t="s">
        <v>3171</v>
      </c>
      <c r="AX327" s="2209" t="s">
        <v>3213</v>
      </c>
      <c r="AY327" s="2211" t="s">
        <v>3285</v>
      </c>
    </row>
    <row r="328" spans="2:65" s="2216" customFormat="1">
      <c r="B328" s="2217"/>
      <c r="D328" s="2197" t="s">
        <v>3303</v>
      </c>
      <c r="E328" s="2218" t="s">
        <v>3146</v>
      </c>
      <c r="F328" s="2219" t="s">
        <v>3306</v>
      </c>
      <c r="H328" s="2220">
        <v>558.62</v>
      </c>
      <c r="L328" s="2217"/>
      <c r="M328" s="2221"/>
      <c r="T328" s="2222"/>
      <c r="AT328" s="2218" t="s">
        <v>3303</v>
      </c>
      <c r="AU328" s="2218" t="s">
        <v>134</v>
      </c>
      <c r="AV328" s="2216" t="s">
        <v>856</v>
      </c>
      <c r="AW328" s="2216" t="s">
        <v>3171</v>
      </c>
      <c r="AX328" s="2216" t="s">
        <v>133</v>
      </c>
      <c r="AY328" s="2218" t="s">
        <v>3285</v>
      </c>
    </row>
    <row r="329" spans="2:65" s="2070" customFormat="1" ht="24.2" customHeight="1">
      <c r="B329" s="2164"/>
      <c r="C329" s="4608" t="s">
        <v>3571</v>
      </c>
      <c r="D329" s="4608" t="s">
        <v>3286</v>
      </c>
      <c r="E329" s="4609" t="s">
        <v>4521</v>
      </c>
      <c r="F329" s="4610" t="s">
        <v>4522</v>
      </c>
      <c r="G329" s="4611" t="s">
        <v>611</v>
      </c>
      <c r="H329" s="4612">
        <v>558.62</v>
      </c>
      <c r="I329" s="4613"/>
      <c r="J329" s="4613">
        <f>ROUND(I329*H329,2)</f>
        <v>0</v>
      </c>
      <c r="K329" s="4610" t="s">
        <v>142</v>
      </c>
      <c r="L329" s="2071"/>
      <c r="M329" s="2190" t="s">
        <v>3146</v>
      </c>
      <c r="N329" s="2163" t="s">
        <v>3181</v>
      </c>
      <c r="O329" s="2191">
        <v>0.56499999999999995</v>
      </c>
      <c r="P329" s="2191">
        <f>O329*H329</f>
        <v>315.62029999999999</v>
      </c>
      <c r="Q329" s="2191">
        <v>7.1000000000000002E-4</v>
      </c>
      <c r="R329" s="2191">
        <f>Q329*H329</f>
        <v>0.39662020000000003</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4523</v>
      </c>
    </row>
    <row r="330" spans="2:65" s="2070" customFormat="1" ht="24.2" customHeight="1">
      <c r="B330" s="2164"/>
      <c r="C330" s="4608" t="s">
        <v>3582</v>
      </c>
      <c r="D330" s="4608" t="s">
        <v>3286</v>
      </c>
      <c r="E330" s="4609" t="s">
        <v>4524</v>
      </c>
      <c r="F330" s="4610" t="s">
        <v>4525</v>
      </c>
      <c r="G330" s="4611" t="s">
        <v>611</v>
      </c>
      <c r="H330" s="4612">
        <v>558.62</v>
      </c>
      <c r="I330" s="4613"/>
      <c r="J330" s="4613">
        <f>ROUND(I330*H330,2)</f>
        <v>0</v>
      </c>
      <c r="K330" s="4610" t="s">
        <v>142</v>
      </c>
      <c r="L330" s="2071"/>
      <c r="M330" s="2190" t="s">
        <v>3146</v>
      </c>
      <c r="N330" s="2163" t="s">
        <v>3181</v>
      </c>
      <c r="O330" s="2191">
        <v>0.26</v>
      </c>
      <c r="P330" s="2191">
        <f>O330*H330</f>
        <v>145.24119999999999</v>
      </c>
      <c r="Q330" s="2191">
        <v>3.2000000000000002E-3</v>
      </c>
      <c r="R330" s="2191">
        <f>Q330*H330</f>
        <v>1.7875840000000001</v>
      </c>
      <c r="S330" s="2191">
        <v>0</v>
      </c>
      <c r="T330" s="2192">
        <f>S330*H330</f>
        <v>0</v>
      </c>
      <c r="AR330" s="2193" t="s">
        <v>2894</v>
      </c>
      <c r="AT330" s="2193" t="s">
        <v>3286</v>
      </c>
      <c r="AU330" s="2193" t="s">
        <v>134</v>
      </c>
      <c r="AY330" s="2056" t="s">
        <v>3285</v>
      </c>
      <c r="BE330" s="2194">
        <f>IF(N330="základní",J330,0)</f>
        <v>0</v>
      </c>
      <c r="BF330" s="2194">
        <f>IF(N330="snížená",J330,0)</f>
        <v>0</v>
      </c>
      <c r="BG330" s="2194">
        <f>IF(N330="zákl. přenesená",J330,0)</f>
        <v>0</v>
      </c>
      <c r="BH330" s="2194">
        <f>IF(N330="sníž. přenesená",J330,0)</f>
        <v>0</v>
      </c>
      <c r="BI330" s="2194">
        <f>IF(N330="nulová",J330,0)</f>
        <v>0</v>
      </c>
      <c r="BJ330" s="2056" t="s">
        <v>134</v>
      </c>
      <c r="BK330" s="2194">
        <f>ROUND(I330*H330,2)</f>
        <v>0</v>
      </c>
      <c r="BL330" s="2056" t="s">
        <v>2894</v>
      </c>
      <c r="BM330" s="2193" t="s">
        <v>4526</v>
      </c>
    </row>
    <row r="331" spans="2:65" s="2070" customFormat="1" ht="24.2" customHeight="1">
      <c r="B331" s="2164"/>
      <c r="C331" s="4608" t="s">
        <v>3590</v>
      </c>
      <c r="D331" s="4608" t="s">
        <v>3286</v>
      </c>
      <c r="E331" s="4609" t="s">
        <v>4527</v>
      </c>
      <c r="F331" s="4610" t="s">
        <v>4528</v>
      </c>
      <c r="G331" s="4611" t="s">
        <v>611</v>
      </c>
      <c r="H331" s="4612">
        <v>558.62</v>
      </c>
      <c r="I331" s="4613"/>
      <c r="J331" s="4613">
        <f>ROUND(I331*H331,2)</f>
        <v>0</v>
      </c>
      <c r="K331" s="4610" t="s">
        <v>142</v>
      </c>
      <c r="L331" s="2071"/>
      <c r="M331" s="2190" t="s">
        <v>3146</v>
      </c>
      <c r="N331" s="2163" t="s">
        <v>3181</v>
      </c>
      <c r="O331" s="2191">
        <v>0.22</v>
      </c>
      <c r="P331" s="2191">
        <f>O331*H331</f>
        <v>122.8964</v>
      </c>
      <c r="Q331" s="2191">
        <v>8.0000000000000007E-5</v>
      </c>
      <c r="R331" s="2191">
        <f>Q331*H331</f>
        <v>4.4689600000000003E-2</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4529</v>
      </c>
    </row>
    <row r="332" spans="2:65" s="2070" customFormat="1" ht="21.75" customHeight="1">
      <c r="B332" s="2164"/>
      <c r="C332" s="4608" t="s">
        <v>3594</v>
      </c>
      <c r="D332" s="4608" t="s">
        <v>3286</v>
      </c>
      <c r="E332" s="4609" t="s">
        <v>4530</v>
      </c>
      <c r="F332" s="4610" t="s">
        <v>4531</v>
      </c>
      <c r="G332" s="4611" t="s">
        <v>141</v>
      </c>
      <c r="H332" s="4612">
        <v>228.74</v>
      </c>
      <c r="I332" s="4613"/>
      <c r="J332" s="4613">
        <f>ROUND(I332*H332,2)</f>
        <v>0</v>
      </c>
      <c r="K332" s="4610" t="s">
        <v>142</v>
      </c>
      <c r="L332" s="2071"/>
      <c r="M332" s="2190" t="s">
        <v>3146</v>
      </c>
      <c r="N332" s="2163" t="s">
        <v>3181</v>
      </c>
      <c r="O332" s="2191">
        <v>0.34799999999999998</v>
      </c>
      <c r="P332" s="2191">
        <f>O332*H332</f>
        <v>79.601519999999994</v>
      </c>
      <c r="Q332" s="2191">
        <v>3.46E-3</v>
      </c>
      <c r="R332" s="2191">
        <f>Q332*H332</f>
        <v>0.79144040000000004</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4532</v>
      </c>
    </row>
    <row r="333" spans="2:65" s="2195" customFormat="1">
      <c r="B333" s="2196"/>
      <c r="D333" s="2197" t="s">
        <v>3303</v>
      </c>
      <c r="E333" s="2198" t="s">
        <v>3146</v>
      </c>
      <c r="F333" s="2199" t="s">
        <v>3517</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4533</v>
      </c>
      <c r="H334" s="2213">
        <v>228.74</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228.74</v>
      </c>
      <c r="L335" s="2217"/>
      <c r="M335" s="2221"/>
      <c r="T335" s="2222"/>
      <c r="AT335" s="2218" t="s">
        <v>3303</v>
      </c>
      <c r="AU335" s="2218" t="s">
        <v>134</v>
      </c>
      <c r="AV335" s="2216" t="s">
        <v>856</v>
      </c>
      <c r="AW335" s="2216" t="s">
        <v>3171</v>
      </c>
      <c r="AX335" s="2216" t="s">
        <v>133</v>
      </c>
      <c r="AY335" s="2218" t="s">
        <v>3285</v>
      </c>
    </row>
    <row r="336" spans="2:65" s="2070" customFormat="1" ht="24.2" customHeight="1">
      <c r="B336" s="2164"/>
      <c r="C336" s="4608" t="s">
        <v>3598</v>
      </c>
      <c r="D336" s="4608" t="s">
        <v>3286</v>
      </c>
      <c r="E336" s="4609" t="s">
        <v>4534</v>
      </c>
      <c r="F336" s="4610" t="s">
        <v>4535</v>
      </c>
      <c r="G336" s="4611" t="s">
        <v>302</v>
      </c>
      <c r="H336" s="4612">
        <v>6.0369999999999999</v>
      </c>
      <c r="I336" s="4613"/>
      <c r="J336" s="4613">
        <f>ROUND(I336*H336,2)</f>
        <v>0</v>
      </c>
      <c r="K336" s="4610" t="s">
        <v>142</v>
      </c>
      <c r="L336" s="2071"/>
      <c r="M336" s="2190" t="s">
        <v>3146</v>
      </c>
      <c r="N336" s="2163" t="s">
        <v>3181</v>
      </c>
      <c r="O336" s="2191">
        <v>1.4990000000000001</v>
      </c>
      <c r="P336" s="2191">
        <f>O336*H336</f>
        <v>9.0494630000000011</v>
      </c>
      <c r="Q336" s="2191">
        <v>0</v>
      </c>
      <c r="R336" s="2191">
        <f>Q336*H336</f>
        <v>0</v>
      </c>
      <c r="S336" s="2191">
        <v>0</v>
      </c>
      <c r="T336" s="2192">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4536</v>
      </c>
    </row>
    <row r="337" spans="2:65" s="2070" customFormat="1" ht="24.2" customHeight="1">
      <c r="B337" s="2164"/>
      <c r="C337" s="4608" t="s">
        <v>3602</v>
      </c>
      <c r="D337" s="4608" t="s">
        <v>3286</v>
      </c>
      <c r="E337" s="4609" t="s">
        <v>4537</v>
      </c>
      <c r="F337" s="4610" t="s">
        <v>4538</v>
      </c>
      <c r="G337" s="4611" t="s">
        <v>302</v>
      </c>
      <c r="H337" s="4612">
        <v>6.0369999999999999</v>
      </c>
      <c r="I337" s="4613"/>
      <c r="J337" s="4613">
        <f>ROUND(I337*H337,2)</f>
        <v>0</v>
      </c>
      <c r="K337" s="4610" t="s">
        <v>142</v>
      </c>
      <c r="L337" s="2071"/>
      <c r="M337" s="2190" t="s">
        <v>3146</v>
      </c>
      <c r="N337" s="2163" t="s">
        <v>3181</v>
      </c>
      <c r="O337" s="2191">
        <v>1.1100000000000001</v>
      </c>
      <c r="P337" s="2191">
        <f>O337*H337</f>
        <v>6.7010700000000005</v>
      </c>
      <c r="Q337" s="2191">
        <v>0</v>
      </c>
      <c r="R337" s="2191">
        <f>Q337*H337</f>
        <v>0</v>
      </c>
      <c r="S337" s="2191">
        <v>0</v>
      </c>
      <c r="T337" s="2192">
        <f>S337*H337</f>
        <v>0</v>
      </c>
      <c r="AR337" s="2193" t="s">
        <v>2894</v>
      </c>
      <c r="AT337" s="2193" t="s">
        <v>3286</v>
      </c>
      <c r="AU337" s="2193" t="s">
        <v>134</v>
      </c>
      <c r="AY337" s="2056" t="s">
        <v>3285</v>
      </c>
      <c r="BE337" s="2194">
        <f>IF(N337="základní",J337,0)</f>
        <v>0</v>
      </c>
      <c r="BF337" s="2194">
        <f>IF(N337="snížená",J337,0)</f>
        <v>0</v>
      </c>
      <c r="BG337" s="2194">
        <f>IF(N337="zákl. přenesená",J337,0)</f>
        <v>0</v>
      </c>
      <c r="BH337" s="2194">
        <f>IF(N337="sníž. přenesená",J337,0)</f>
        <v>0</v>
      </c>
      <c r="BI337" s="2194">
        <f>IF(N337="nulová",J337,0)</f>
        <v>0</v>
      </c>
      <c r="BJ337" s="2056" t="s">
        <v>134</v>
      </c>
      <c r="BK337" s="2194">
        <f>ROUND(I337*H337,2)</f>
        <v>0</v>
      </c>
      <c r="BL337" s="2056" t="s">
        <v>2894</v>
      </c>
      <c r="BM337" s="2193" t="s">
        <v>4539</v>
      </c>
    </row>
    <row r="338" spans="2:65" s="2178" customFormat="1" ht="22.9" customHeight="1">
      <c r="B338" s="2179"/>
      <c r="D338" s="2180" t="s">
        <v>3212</v>
      </c>
      <c r="E338" s="2188" t="s">
        <v>4159</v>
      </c>
      <c r="F338" s="2188" t="s">
        <v>4160</v>
      </c>
      <c r="J338" s="2189">
        <f>BK338</f>
        <v>0</v>
      </c>
      <c r="L338" s="2179"/>
      <c r="M338" s="2183"/>
      <c r="P338" s="2184">
        <f>SUM(P339:P344)</f>
        <v>7.3422999999999998</v>
      </c>
      <c r="R338" s="2184">
        <f>SUM(R339:R344)</f>
        <v>6.890099999999999E-2</v>
      </c>
      <c r="T338" s="2185">
        <f>SUM(T339:T344)</f>
        <v>0</v>
      </c>
      <c r="AR338" s="2180" t="s">
        <v>134</v>
      </c>
      <c r="AT338" s="2186" t="s">
        <v>3212</v>
      </c>
      <c r="AU338" s="2186" t="s">
        <v>133</v>
      </c>
      <c r="AY338" s="2180" t="s">
        <v>3285</v>
      </c>
      <c r="BK338" s="2187">
        <f>SUM(BK339:BK344)</f>
        <v>0</v>
      </c>
    </row>
    <row r="339" spans="2:65" s="2070" customFormat="1" ht="24.2" customHeight="1">
      <c r="B339" s="2164"/>
      <c r="C339" s="4608" t="s">
        <v>3613</v>
      </c>
      <c r="D339" s="4608" t="s">
        <v>3286</v>
      </c>
      <c r="E339" s="4609" t="s">
        <v>4540</v>
      </c>
      <c r="F339" s="4610" t="s">
        <v>4541</v>
      </c>
      <c r="G339" s="4611" t="s">
        <v>611</v>
      </c>
      <c r="H339" s="4612">
        <v>11.9</v>
      </c>
      <c r="I339" s="4613"/>
      <c r="J339" s="4613">
        <f>ROUND(I339*H339,2)</f>
        <v>0</v>
      </c>
      <c r="K339" s="4610" t="s">
        <v>142</v>
      </c>
      <c r="L339" s="2071"/>
      <c r="M339" s="2190" t="s">
        <v>3146</v>
      </c>
      <c r="N339" s="2163" t="s">
        <v>3181</v>
      </c>
      <c r="O339" s="2191">
        <v>0.15</v>
      </c>
      <c r="P339" s="2191">
        <f>O339*H339</f>
        <v>1.7849999999999999</v>
      </c>
      <c r="Q339" s="2191">
        <v>4.0000000000000003E-5</v>
      </c>
      <c r="R339" s="2191">
        <f>Q339*H339</f>
        <v>4.7600000000000008E-4</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4542</v>
      </c>
    </row>
    <row r="340" spans="2:65" s="2209" customFormat="1">
      <c r="B340" s="2210"/>
      <c r="D340" s="2197" t="s">
        <v>3303</v>
      </c>
      <c r="E340" s="2211" t="s">
        <v>3146</v>
      </c>
      <c r="F340" s="2212" t="s">
        <v>4262</v>
      </c>
      <c r="H340" s="2213">
        <v>11.9</v>
      </c>
      <c r="L340" s="2210"/>
      <c r="M340" s="2214"/>
      <c r="T340" s="2215"/>
      <c r="AT340" s="2211" t="s">
        <v>3303</v>
      </c>
      <c r="AU340" s="2211" t="s">
        <v>134</v>
      </c>
      <c r="AV340" s="2209" t="s">
        <v>134</v>
      </c>
      <c r="AW340" s="2209" t="s">
        <v>3171</v>
      </c>
      <c r="AX340" s="2209" t="s">
        <v>133</v>
      </c>
      <c r="AY340" s="2211" t="s">
        <v>3285</v>
      </c>
    </row>
    <row r="341" spans="2:65" s="2070" customFormat="1" ht="16.5" customHeight="1">
      <c r="B341" s="2164"/>
      <c r="C341" s="4608" t="s">
        <v>3617</v>
      </c>
      <c r="D341" s="4608" t="s">
        <v>3286</v>
      </c>
      <c r="E341" s="4609" t="s">
        <v>4543</v>
      </c>
      <c r="F341" s="4610" t="s">
        <v>4544</v>
      </c>
      <c r="G341" s="4611" t="s">
        <v>611</v>
      </c>
      <c r="H341" s="4612">
        <v>11.9</v>
      </c>
      <c r="I341" s="4613"/>
      <c r="J341" s="4613">
        <f>ROUND(I341*H341,2)</f>
        <v>0</v>
      </c>
      <c r="K341" s="4610" t="s">
        <v>142</v>
      </c>
      <c r="L341" s="2071"/>
      <c r="M341" s="2190" t="s">
        <v>3146</v>
      </c>
      <c r="N341" s="2163" t="s">
        <v>3181</v>
      </c>
      <c r="O341" s="2191">
        <v>1.7999999999999999E-2</v>
      </c>
      <c r="P341" s="2191">
        <f>O341*H341</f>
        <v>0.2142</v>
      </c>
      <c r="Q341" s="2191">
        <v>0</v>
      </c>
      <c r="R341" s="2191">
        <f>Q341*H341</f>
        <v>0</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4545</v>
      </c>
    </row>
    <row r="342" spans="2:65" s="2070" customFormat="1" ht="24.2" customHeight="1">
      <c r="B342" s="2164"/>
      <c r="C342" s="4608" t="s">
        <v>3621</v>
      </c>
      <c r="D342" s="4608" t="s">
        <v>3286</v>
      </c>
      <c r="E342" s="4609" t="s">
        <v>4546</v>
      </c>
      <c r="F342" s="4610" t="s">
        <v>4547</v>
      </c>
      <c r="G342" s="4611" t="s">
        <v>611</v>
      </c>
      <c r="H342" s="4612">
        <v>11.9</v>
      </c>
      <c r="I342" s="4613"/>
      <c r="J342" s="4613">
        <f>ROUND(I342*H342,2)</f>
        <v>0</v>
      </c>
      <c r="K342" s="4610" t="s">
        <v>142</v>
      </c>
      <c r="L342" s="2071"/>
      <c r="M342" s="2190" t="s">
        <v>3146</v>
      </c>
      <c r="N342" s="2163" t="s">
        <v>3181</v>
      </c>
      <c r="O342" s="2191">
        <v>0.13</v>
      </c>
      <c r="P342" s="2191">
        <f>O342*H342</f>
        <v>1.5470000000000002</v>
      </c>
      <c r="Q342" s="2191">
        <v>4.7999999999999996E-3</v>
      </c>
      <c r="R342" s="2191">
        <f>Q342*H342</f>
        <v>5.7119999999999997E-2</v>
      </c>
      <c r="S342" s="2191">
        <v>0</v>
      </c>
      <c r="T342" s="2192">
        <f>S342*H342</f>
        <v>0</v>
      </c>
      <c r="AR342" s="2193" t="s">
        <v>2894</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2894</v>
      </c>
      <c r="BM342" s="2193" t="s">
        <v>4548</v>
      </c>
    </row>
    <row r="343" spans="2:65" s="2070" customFormat="1" ht="24.2" customHeight="1">
      <c r="B343" s="2164"/>
      <c r="C343" s="4608" t="s">
        <v>3625</v>
      </c>
      <c r="D343" s="4608" t="s">
        <v>3286</v>
      </c>
      <c r="E343" s="4609" t="s">
        <v>4549</v>
      </c>
      <c r="F343" s="4610" t="s">
        <v>4550</v>
      </c>
      <c r="G343" s="4611" t="s">
        <v>611</v>
      </c>
      <c r="H343" s="4612">
        <v>11.9</v>
      </c>
      <c r="I343" s="4613"/>
      <c r="J343" s="4613">
        <f>ROUND(I343*H343,2)</f>
        <v>0</v>
      </c>
      <c r="K343" s="4610" t="s">
        <v>142</v>
      </c>
      <c r="L343" s="2071"/>
      <c r="M343" s="2190" t="s">
        <v>3146</v>
      </c>
      <c r="N343" s="2163" t="s">
        <v>3181</v>
      </c>
      <c r="O343" s="2191">
        <v>0.108</v>
      </c>
      <c r="P343" s="2191">
        <f>O343*H343</f>
        <v>1.2852000000000001</v>
      </c>
      <c r="Q343" s="2191">
        <v>2.9E-4</v>
      </c>
      <c r="R343" s="2191">
        <f>Q343*H343</f>
        <v>3.4510000000000001E-3</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4551</v>
      </c>
    </row>
    <row r="344" spans="2:65" s="2070" customFormat="1" ht="24.2" customHeight="1">
      <c r="B344" s="2164"/>
      <c r="C344" s="4608" t="s">
        <v>3630</v>
      </c>
      <c r="D344" s="4608" t="s">
        <v>3286</v>
      </c>
      <c r="E344" s="4609" t="s">
        <v>4552</v>
      </c>
      <c r="F344" s="4610" t="s">
        <v>4553</v>
      </c>
      <c r="G344" s="4611" t="s">
        <v>611</v>
      </c>
      <c r="H344" s="4612">
        <v>11.9</v>
      </c>
      <c r="I344" s="4613"/>
      <c r="J344" s="4613">
        <f>ROUND(I344*H344,2)</f>
        <v>0</v>
      </c>
      <c r="K344" s="4610" t="s">
        <v>142</v>
      </c>
      <c r="L344" s="2071"/>
      <c r="M344" s="2226" t="s">
        <v>3146</v>
      </c>
      <c r="N344" s="2227" t="s">
        <v>3181</v>
      </c>
      <c r="O344" s="2228">
        <v>0.21099999999999999</v>
      </c>
      <c r="P344" s="2228">
        <f>O344*H344</f>
        <v>2.5108999999999999</v>
      </c>
      <c r="Q344" s="2228">
        <v>6.6E-4</v>
      </c>
      <c r="R344" s="2228">
        <f>Q344*H344</f>
        <v>7.8539999999999999E-3</v>
      </c>
      <c r="S344" s="2228">
        <v>0</v>
      </c>
      <c r="T344" s="2229">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4554</v>
      </c>
    </row>
    <row r="345" spans="2:65" s="2070" customFormat="1" ht="6.95" customHeight="1">
      <c r="B345" s="2084"/>
      <c r="C345" s="2085"/>
      <c r="D345" s="2085"/>
      <c r="E345" s="2085"/>
      <c r="F345" s="2085"/>
      <c r="G345" s="2085"/>
      <c r="H345" s="2085"/>
      <c r="I345" s="2085"/>
      <c r="J345" s="2085"/>
      <c r="K345" s="2085"/>
      <c r="L345" s="2071"/>
    </row>
  </sheetData>
  <autoFilter ref="C129:K344" xr:uid="{00000000-0009-0000-0000-000002000000}"/>
  <mergeCells count="9">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3"/>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69" t="s">
        <v>10708</v>
      </c>
      <c r="M2" s="5870"/>
      <c r="N2" s="5870"/>
      <c r="O2" s="5870"/>
      <c r="P2" s="5870"/>
      <c r="Q2" s="5870"/>
      <c r="R2" s="5870"/>
      <c r="S2" s="5870"/>
      <c r="T2" s="5870"/>
      <c r="U2" s="5870"/>
      <c r="V2" s="5870"/>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878" t="str">
        <f>'Rekapitulace stavby'!K6</f>
        <v>Dostavba domova pro seniory ve Vrchlabí - PD</v>
      </c>
      <c r="F7" s="5879"/>
      <c r="G7" s="5879"/>
      <c r="H7" s="5879"/>
      <c r="L7" s="2059"/>
    </row>
    <row r="8" spans="2:46" s="2070" customFormat="1" ht="12" customHeight="1">
      <c r="B8" s="2071"/>
      <c r="D8" s="2065" t="s">
        <v>3239</v>
      </c>
      <c r="L8" s="2071"/>
    </row>
    <row r="9" spans="2:46" s="2070" customFormat="1" ht="16.5" customHeight="1">
      <c r="B9" s="2071"/>
      <c r="E9" s="5862" t="s">
        <v>4555</v>
      </c>
      <c r="F9" s="5880"/>
      <c r="G9" s="5880"/>
      <c r="H9" s="588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73" t="s">
        <v>3146</v>
      </c>
      <c r="F27" s="5873"/>
      <c r="G27" s="5873"/>
      <c r="H27" s="587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SUM(BE148:BE1902)),  2)</f>
        <v>0</v>
      </c>
      <c r="I35" s="2141">
        <v>0.21</v>
      </c>
      <c r="J35" s="2140">
        <f>ROUND(((SUM(BE123:BE128) + SUM(BE148:BE1902))*I35),  2)</f>
        <v>0</v>
      </c>
      <c r="L35" s="2071"/>
    </row>
    <row r="36" spans="2:12" s="2070" customFormat="1" ht="14.45" customHeight="1">
      <c r="B36" s="2071"/>
      <c r="E36" s="2065" t="s">
        <v>3181</v>
      </c>
      <c r="F36" s="2140">
        <f>ROUND((SUM(BF123:BF128) + SUM(BF148:BF1902)),  2)</f>
        <v>0</v>
      </c>
      <c r="I36" s="2141">
        <v>0.15</v>
      </c>
      <c r="J36" s="2140">
        <f>ROUND(((SUM(BF123:BF128) + SUM(BF148:BF1902))*I36),  2)</f>
        <v>0</v>
      </c>
      <c r="L36" s="2071"/>
    </row>
    <row r="37" spans="2:12" s="2070" customFormat="1" ht="14.45" hidden="1" customHeight="1">
      <c r="B37" s="2071"/>
      <c r="E37" s="2065" t="s">
        <v>3182</v>
      </c>
      <c r="F37" s="2140">
        <f>ROUND((SUM(BG123:BG128) + SUM(BG148:BG1902)),  2)</f>
        <v>0</v>
      </c>
      <c r="I37" s="2141">
        <v>0.21</v>
      </c>
      <c r="J37" s="2140">
        <f>0</f>
        <v>0</v>
      </c>
      <c r="L37" s="2071"/>
    </row>
    <row r="38" spans="2:12" s="2070" customFormat="1" ht="14.45" hidden="1" customHeight="1">
      <c r="B38" s="2071"/>
      <c r="E38" s="2065" t="s">
        <v>3183</v>
      </c>
      <c r="F38" s="2140">
        <f>ROUND((SUM(BH123:BH128) + SUM(BH148:BH1902)),  2)</f>
        <v>0</v>
      </c>
      <c r="I38" s="2141">
        <v>0.15</v>
      </c>
      <c r="J38" s="2140">
        <f>0</f>
        <v>0</v>
      </c>
      <c r="L38" s="2071"/>
    </row>
    <row r="39" spans="2:12" s="2070" customFormat="1" ht="14.45" hidden="1" customHeight="1">
      <c r="B39" s="2071"/>
      <c r="E39" s="2065" t="s">
        <v>3184</v>
      </c>
      <c r="F39" s="2140">
        <f>ROUND((SUM(BI123:BI128) + SUM(BI148:BI1902)),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878" t="str">
        <f>E7</f>
        <v>Dostavba domova pro seniory ve Vrchlabí - PD</v>
      </c>
      <c r="F85" s="5879"/>
      <c r="G85" s="5879"/>
      <c r="H85" s="5879"/>
      <c r="L85" s="2071"/>
    </row>
    <row r="86" spans="2:47" s="2070" customFormat="1" ht="12" customHeight="1">
      <c r="B86" s="2071"/>
      <c r="C86" s="2065" t="s">
        <v>3239</v>
      </c>
      <c r="L86" s="2071"/>
    </row>
    <row r="87" spans="2:47" s="2070" customFormat="1" ht="16.5" customHeight="1">
      <c r="B87" s="2071"/>
      <c r="E87" s="5862" t="str">
        <f>E9</f>
        <v>01.2 - Vyýpisy prvků - tabulky</v>
      </c>
      <c r="F87" s="5880"/>
      <c r="G87" s="5880"/>
      <c r="H87" s="588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4556</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4287</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4557</v>
      </c>
      <c r="E106" s="2160"/>
      <c r="F106" s="2160"/>
      <c r="G106" s="2160"/>
      <c r="H106" s="2160"/>
      <c r="I106" s="2160"/>
      <c r="J106" s="2161">
        <f>J307</f>
        <v>0</v>
      </c>
      <c r="L106" s="2158"/>
    </row>
    <row r="107" spans="2:12" s="2157" customFormat="1" ht="19.899999999999999" customHeight="1">
      <c r="B107" s="2158"/>
      <c r="D107" s="2159" t="s">
        <v>4558</v>
      </c>
      <c r="E107" s="2160"/>
      <c r="F107" s="2160"/>
      <c r="G107" s="2160"/>
      <c r="H107" s="2160"/>
      <c r="I107" s="2160"/>
      <c r="J107" s="2161">
        <f>J319</f>
        <v>0</v>
      </c>
      <c r="L107" s="2158"/>
    </row>
    <row r="108" spans="2:12" s="2157" customFormat="1" ht="19.899999999999999" customHeight="1">
      <c r="B108" s="2158"/>
      <c r="D108" s="2159" t="s">
        <v>4559</v>
      </c>
      <c r="E108" s="2160"/>
      <c r="F108" s="2160"/>
      <c r="G108" s="2160"/>
      <c r="H108" s="2160"/>
      <c r="I108" s="2160"/>
      <c r="J108" s="2161">
        <f>J478</f>
        <v>0</v>
      </c>
      <c r="L108" s="2158"/>
    </row>
    <row r="109" spans="2:12" s="2157" customFormat="1" ht="19.899999999999999" customHeight="1">
      <c r="B109" s="2158"/>
      <c r="D109" s="2159" t="s">
        <v>4560</v>
      </c>
      <c r="E109" s="2160"/>
      <c r="F109" s="2160"/>
      <c r="G109" s="2160"/>
      <c r="H109" s="2160"/>
      <c r="I109" s="2160"/>
      <c r="J109" s="2161">
        <f>J489</f>
        <v>0</v>
      </c>
      <c r="L109" s="2158"/>
    </row>
    <row r="110" spans="2:12" s="2157" customFormat="1" ht="19.899999999999999" customHeight="1">
      <c r="B110" s="2158"/>
      <c r="D110" s="2159" t="s">
        <v>4561</v>
      </c>
      <c r="E110" s="2160"/>
      <c r="F110" s="2160"/>
      <c r="G110" s="2160"/>
      <c r="H110" s="2160"/>
      <c r="I110" s="2160"/>
      <c r="J110" s="2161">
        <f>J501</f>
        <v>0</v>
      </c>
      <c r="L110" s="2158"/>
    </row>
    <row r="111" spans="2:12" s="2157" customFormat="1" ht="19.899999999999999" customHeight="1">
      <c r="B111" s="2158"/>
      <c r="D111" s="2159" t="s">
        <v>4562</v>
      </c>
      <c r="E111" s="2160"/>
      <c r="F111" s="2160"/>
      <c r="G111" s="2160"/>
      <c r="H111" s="2160"/>
      <c r="I111" s="2160"/>
      <c r="J111" s="2161">
        <f>J511</f>
        <v>0</v>
      </c>
      <c r="L111" s="2158"/>
    </row>
    <row r="112" spans="2:12" s="2157" customFormat="1" ht="19.899999999999999" customHeight="1">
      <c r="B112" s="2158"/>
      <c r="D112" s="2159" t="s">
        <v>4288</v>
      </c>
      <c r="E112" s="2160"/>
      <c r="F112" s="2160"/>
      <c r="G112" s="2160"/>
      <c r="H112" s="2160"/>
      <c r="I112" s="2160"/>
      <c r="J112" s="2161">
        <f>J556</f>
        <v>0</v>
      </c>
      <c r="L112" s="2158"/>
    </row>
    <row r="113" spans="2:65" s="2157" customFormat="1" ht="19.899999999999999" customHeight="1">
      <c r="B113" s="2158"/>
      <c r="D113" s="2159" t="s">
        <v>3260</v>
      </c>
      <c r="E113" s="2160"/>
      <c r="F113" s="2160"/>
      <c r="G113" s="2160"/>
      <c r="H113" s="2160"/>
      <c r="I113" s="2160"/>
      <c r="J113" s="2161">
        <f>J579</f>
        <v>0</v>
      </c>
      <c r="L113" s="2158"/>
    </row>
    <row r="114" spans="2:65" s="2157" customFormat="1" ht="19.899999999999999" customHeight="1">
      <c r="B114" s="2158"/>
      <c r="D114" s="2159" t="s">
        <v>3261</v>
      </c>
      <c r="E114" s="2160"/>
      <c r="F114" s="2160"/>
      <c r="G114" s="2160"/>
      <c r="H114" s="2160"/>
      <c r="I114" s="2160"/>
      <c r="J114" s="2161">
        <f>J740</f>
        <v>0</v>
      </c>
      <c r="L114" s="2158"/>
    </row>
    <row r="115" spans="2:65" s="2157" customFormat="1" ht="19.899999999999999" customHeight="1">
      <c r="B115" s="2158"/>
      <c r="D115" s="2159" t="s">
        <v>4563</v>
      </c>
      <c r="E115" s="2160"/>
      <c r="F115" s="2160"/>
      <c r="G115" s="2160"/>
      <c r="H115" s="2160"/>
      <c r="I115" s="2160"/>
      <c r="J115" s="2161">
        <f>J902</f>
        <v>0</v>
      </c>
      <c r="L115" s="2158"/>
    </row>
    <row r="116" spans="2:65" s="2157" customFormat="1" ht="19.899999999999999" customHeight="1">
      <c r="B116" s="2158"/>
      <c r="D116" s="2159" t="s">
        <v>4564</v>
      </c>
      <c r="E116" s="2160"/>
      <c r="F116" s="2160"/>
      <c r="G116" s="2160"/>
      <c r="H116" s="2160"/>
      <c r="I116" s="2160"/>
      <c r="J116" s="2161">
        <f>J1616</f>
        <v>0</v>
      </c>
      <c r="L116" s="2158"/>
    </row>
    <row r="117" spans="2:65" s="2157" customFormat="1" ht="19.899999999999999" customHeight="1">
      <c r="B117" s="2158"/>
      <c r="D117" s="2159" t="s">
        <v>3263</v>
      </c>
      <c r="E117" s="2160"/>
      <c r="F117" s="2160"/>
      <c r="G117" s="2160"/>
      <c r="H117" s="2160"/>
      <c r="I117" s="2160"/>
      <c r="J117" s="2161">
        <f>J1629</f>
        <v>0</v>
      </c>
      <c r="L117" s="2158"/>
    </row>
    <row r="118" spans="2:65" s="2157" customFormat="1" ht="19.899999999999999" customHeight="1">
      <c r="B118" s="2158"/>
      <c r="D118" s="2159" t="s">
        <v>3264</v>
      </c>
      <c r="E118" s="2160"/>
      <c r="F118" s="2160"/>
      <c r="G118" s="2160"/>
      <c r="H118" s="2160"/>
      <c r="I118" s="2160"/>
      <c r="J118" s="2161">
        <f>J1643</f>
        <v>0</v>
      </c>
      <c r="L118" s="2158"/>
    </row>
    <row r="119" spans="2:65" s="2157" customFormat="1" ht="19.899999999999999" customHeight="1">
      <c r="B119" s="2158"/>
      <c r="D119" s="2159" t="s">
        <v>3266</v>
      </c>
      <c r="E119" s="2160"/>
      <c r="F119" s="2160"/>
      <c r="G119" s="2160"/>
      <c r="H119" s="2160"/>
      <c r="I119" s="2160"/>
      <c r="J119" s="2161">
        <f>J1704</f>
        <v>0</v>
      </c>
      <c r="L119" s="2158"/>
    </row>
    <row r="120" spans="2:65" s="2157" customFormat="1" ht="19.899999999999999" customHeight="1">
      <c r="B120" s="2158"/>
      <c r="D120" s="2159" t="s">
        <v>4565</v>
      </c>
      <c r="E120" s="2160"/>
      <c r="F120" s="2160"/>
      <c r="G120" s="2160"/>
      <c r="H120" s="2160"/>
      <c r="I120" s="2160"/>
      <c r="J120" s="2161">
        <f>J1870</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881" t="s">
        <v>24</v>
      </c>
      <c r="E124" s="5881"/>
      <c r="F124" s="5881"/>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881" t="s">
        <v>25</v>
      </c>
      <c r="E125" s="5881"/>
      <c r="F125" s="5881"/>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881" t="s">
        <v>3272</v>
      </c>
      <c r="E126" s="5881"/>
      <c r="F126" s="5881"/>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878" t="str">
        <f>E7</f>
        <v>Dostavba domova pro seniory ve Vrchlabí - PD</v>
      </c>
      <c r="F138" s="5879"/>
      <c r="G138" s="5879"/>
      <c r="H138" s="5879"/>
      <c r="L138" s="2071"/>
    </row>
    <row r="139" spans="2:12" s="2070" customFormat="1" ht="12" customHeight="1">
      <c r="B139" s="2071"/>
      <c r="C139" s="2065" t="s">
        <v>3239</v>
      </c>
      <c r="L139" s="2071"/>
    </row>
    <row r="140" spans="2:12" s="2070" customFormat="1" ht="16.5" customHeight="1">
      <c r="B140" s="2071"/>
      <c r="E140" s="5862" t="str">
        <f>E9</f>
        <v>01.2 - Vyýpisy prvků - tabulky</v>
      </c>
      <c r="F140" s="5880"/>
      <c r="G140" s="5880"/>
      <c r="H140" s="5880"/>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14173.467876999997</v>
      </c>
      <c r="Q148" s="2095"/>
      <c r="R148" s="2175">
        <f>R149+R265</f>
        <v>312.27110421999998</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753.226495</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11037</v>
      </c>
      <c r="F151" s="4610" t="s">
        <v>11038</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11039</v>
      </c>
    </row>
    <row r="152" spans="2:65" s="2195" customFormat="1">
      <c r="B152" s="2196"/>
      <c r="D152" s="2197" t="s">
        <v>3303</v>
      </c>
      <c r="E152" s="2198" t="s">
        <v>3146</v>
      </c>
      <c r="F152" s="2199" t="s">
        <v>11040</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11041</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11042</v>
      </c>
      <c r="F154" s="4616" t="s">
        <v>11043</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11044</v>
      </c>
    </row>
    <row r="155" spans="2:65" s="2209" customFormat="1">
      <c r="B155" s="2210"/>
      <c r="D155" s="2197" t="s">
        <v>3303</v>
      </c>
      <c r="E155" s="2211" t="s">
        <v>3146</v>
      </c>
      <c r="F155" s="2212" t="s">
        <v>11045</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11046</v>
      </c>
      <c r="F156" s="4610" t="s">
        <v>11047</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11048</v>
      </c>
    </row>
    <row r="157" spans="2:65" s="2195" customFormat="1">
      <c r="B157" s="2196"/>
      <c r="D157" s="2197" t="s">
        <v>3303</v>
      </c>
      <c r="E157" s="2198" t="s">
        <v>3146</v>
      </c>
      <c r="F157" s="2199" t="s">
        <v>11049</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11050</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11051</v>
      </c>
      <c r="F159" s="4610" t="s">
        <v>11052</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11053</v>
      </c>
    </row>
    <row r="160" spans="2:65" s="2070" customFormat="1" ht="16.5" customHeight="1">
      <c r="B160" s="2164"/>
      <c r="C160" s="4614" t="s">
        <v>858</v>
      </c>
      <c r="D160" s="4614" t="s">
        <v>135</v>
      </c>
      <c r="E160" s="4615" t="s">
        <v>11054</v>
      </c>
      <c r="F160" s="4616" t="s">
        <v>11055</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11056</v>
      </c>
    </row>
    <row r="161" spans="2:65" s="2195" customFormat="1">
      <c r="B161" s="2196"/>
      <c r="D161" s="2197" t="s">
        <v>3303</v>
      </c>
      <c r="E161" s="2198" t="s">
        <v>3146</v>
      </c>
      <c r="F161" s="2199" t="s">
        <v>11057</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4566</v>
      </c>
      <c r="F163" s="4610" t="s">
        <v>4567</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4568</v>
      </c>
    </row>
    <row r="164" spans="2:65" s="2209" customFormat="1">
      <c r="B164" s="2210"/>
      <c r="D164" s="2197" t="s">
        <v>3303</v>
      </c>
      <c r="E164" s="2211" t="s">
        <v>3146</v>
      </c>
      <c r="F164" s="2212" t="s">
        <v>4569</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4570</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4571</v>
      </c>
      <c r="F167" s="4616" t="s">
        <v>4572</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4573</v>
      </c>
    </row>
    <row r="168" spans="2:65" s="2209" customFormat="1">
      <c r="B168" s="2210"/>
      <c r="D168" s="2197" t="s">
        <v>3303</v>
      </c>
      <c r="E168" s="2211" t="s">
        <v>3146</v>
      </c>
      <c r="F168" s="2212" t="s">
        <v>4574</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4575</v>
      </c>
      <c r="F169" s="4616" t="s">
        <v>4576</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4577</v>
      </c>
    </row>
    <row r="170" spans="2:65" s="2209" customFormat="1">
      <c r="B170" s="2210"/>
      <c r="D170" s="2197" t="s">
        <v>3303</v>
      </c>
      <c r="E170" s="2211" t="s">
        <v>3146</v>
      </c>
      <c r="F170" s="2212" t="s">
        <v>4578</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4579</v>
      </c>
      <c r="F172" s="4610" t="s">
        <v>4580</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4581</v>
      </c>
    </row>
    <row r="173" spans="2:65" s="2195" customFormat="1">
      <c r="B173" s="2196"/>
      <c r="D173" s="2197" t="s">
        <v>3303</v>
      </c>
      <c r="E173" s="2198" t="s">
        <v>3146</v>
      </c>
      <c r="F173" s="2199" t="s">
        <v>4582</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4583</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4584</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4585</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4586</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5561" t="s">
        <v>2098</v>
      </c>
      <c r="D179" s="4608" t="s">
        <v>3286</v>
      </c>
      <c r="E179" s="4609" t="s">
        <v>4588</v>
      </c>
      <c r="F179" s="4610" t="s">
        <v>4589</v>
      </c>
      <c r="G179" s="4611" t="s">
        <v>155</v>
      </c>
      <c r="H179" s="4612">
        <v>182</v>
      </c>
      <c r="I179" s="5876" t="s">
        <v>11555</v>
      </c>
      <c r="J179" s="5877"/>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v>0</v>
      </c>
      <c r="BL179" s="2056" t="s">
        <v>856</v>
      </c>
      <c r="BM179" s="2193" t="s">
        <v>4590</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5609" t="s">
        <v>1812</v>
      </c>
      <c r="D184" s="4614" t="s">
        <v>135</v>
      </c>
      <c r="E184" s="4615" t="s">
        <v>4592</v>
      </c>
      <c r="F184" s="4616" t="s">
        <v>4593</v>
      </c>
      <c r="G184" s="4617" t="s">
        <v>155</v>
      </c>
      <c r="H184" s="4618">
        <v>182</v>
      </c>
      <c r="I184" s="5876" t="s">
        <v>11555</v>
      </c>
      <c r="J184" s="5877"/>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v>0</v>
      </c>
      <c r="BL184" s="2056" t="s">
        <v>856</v>
      </c>
      <c r="BM184" s="2193" t="s">
        <v>4594</v>
      </c>
    </row>
    <row r="185" spans="2:65" s="2070" customFormat="1" ht="24.2" customHeight="1">
      <c r="B185" s="2164"/>
      <c r="C185" s="5561" t="s">
        <v>874</v>
      </c>
      <c r="D185" s="4608" t="s">
        <v>3286</v>
      </c>
      <c r="E185" s="4609" t="s">
        <v>4595</v>
      </c>
      <c r="F185" s="4610" t="s">
        <v>4596</v>
      </c>
      <c r="G185" s="4611" t="s">
        <v>155</v>
      </c>
      <c r="H185" s="4612">
        <v>23</v>
      </c>
      <c r="I185" s="5876" t="s">
        <v>11555</v>
      </c>
      <c r="J185" s="5877"/>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v>0</v>
      </c>
      <c r="BL185" s="2056" t="s">
        <v>856</v>
      </c>
      <c r="BM185" s="2193" t="s">
        <v>4597</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5609" t="s">
        <v>1924</v>
      </c>
      <c r="D189" s="4614" t="s">
        <v>135</v>
      </c>
      <c r="E189" s="4615" t="s">
        <v>4599</v>
      </c>
      <c r="F189" s="4616" t="s">
        <v>4600</v>
      </c>
      <c r="G189" s="4617" t="s">
        <v>155</v>
      </c>
      <c r="H189" s="4618">
        <v>23</v>
      </c>
      <c r="I189" s="5876" t="s">
        <v>11555</v>
      </c>
      <c r="J189" s="5877"/>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v>0</v>
      </c>
      <c r="BL189" s="2056" t="s">
        <v>856</v>
      </c>
      <c r="BM189" s="2193" t="s">
        <v>4601</v>
      </c>
    </row>
    <row r="190" spans="2:65" s="2178" customFormat="1" ht="22.9" customHeight="1">
      <c r="B190" s="2179"/>
      <c r="D190" s="2180" t="s">
        <v>3212</v>
      </c>
      <c r="E190" s="2188" t="s">
        <v>2071</v>
      </c>
      <c r="F190" s="2188" t="s">
        <v>4602</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4604</v>
      </c>
      <c r="F191" s="4610" t="s">
        <v>4605</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4606</v>
      </c>
    </row>
    <row r="192" spans="2:65" s="2209" customFormat="1">
      <c r="B192" s="2210"/>
      <c r="D192" s="2197" t="s">
        <v>3303</v>
      </c>
      <c r="E192" s="2211" t="s">
        <v>3146</v>
      </c>
      <c r="F192" s="2212" t="s">
        <v>4607</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11058</v>
      </c>
      <c r="F193" s="4616" t="s">
        <v>11059</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4609</v>
      </c>
    </row>
    <row r="194" spans="2:65" s="2195" customFormat="1">
      <c r="B194" s="2196"/>
      <c r="D194" s="2197" t="s">
        <v>3303</v>
      </c>
      <c r="E194" s="2198" t="s">
        <v>3146</v>
      </c>
      <c r="F194" s="2199" t="s">
        <v>11060</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11061</v>
      </c>
      <c r="F196" s="4616" t="s">
        <v>11062</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11063</v>
      </c>
    </row>
    <row r="197" spans="2:65" s="2195" customFormat="1">
      <c r="B197" s="2196"/>
      <c r="D197" s="2197" t="s">
        <v>3303</v>
      </c>
      <c r="E197" s="2198" t="s">
        <v>3146</v>
      </c>
      <c r="F197" s="2199" t="s">
        <v>11064</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4611</v>
      </c>
      <c r="F200" s="4610" t="s">
        <v>4612</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4613</v>
      </c>
    </row>
    <row r="201" spans="2:65" s="2070" customFormat="1" ht="24.2" customHeight="1">
      <c r="B201" s="2164"/>
      <c r="C201" s="4614" t="s">
        <v>2475</v>
      </c>
      <c r="D201" s="4614" t="s">
        <v>135</v>
      </c>
      <c r="E201" s="4615" t="s">
        <v>11065</v>
      </c>
      <c r="F201" s="4616" t="s">
        <v>11066</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4615</v>
      </c>
    </row>
    <row r="202" spans="2:65" s="2070" customFormat="1" ht="24.2" customHeight="1">
      <c r="B202" s="2164"/>
      <c r="C202" s="4608" t="s">
        <v>1846</v>
      </c>
      <c r="D202" s="4608" t="s">
        <v>3286</v>
      </c>
      <c r="E202" s="4609" t="s">
        <v>4616</v>
      </c>
      <c r="F202" s="4610" t="s">
        <v>4617</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4618</v>
      </c>
    </row>
    <row r="203" spans="2:65" s="2070" customFormat="1" ht="21.75" customHeight="1">
      <c r="B203" s="2164"/>
      <c r="C203" s="4608" t="s">
        <v>2272</v>
      </c>
      <c r="D203" s="4608" t="s">
        <v>3286</v>
      </c>
      <c r="E203" s="4609" t="s">
        <v>4619</v>
      </c>
      <c r="F203" s="4610" t="s">
        <v>4620</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4621</v>
      </c>
    </row>
    <row r="204" spans="2:65" s="2070" customFormat="1" ht="16.5" customHeight="1">
      <c r="B204" s="2164"/>
      <c r="C204" s="4608" t="s">
        <v>989</v>
      </c>
      <c r="D204" s="4608" t="s">
        <v>3286</v>
      </c>
      <c r="E204" s="4609" t="s">
        <v>4622</v>
      </c>
      <c r="F204" s="4610" t="s">
        <v>4623</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4624</v>
      </c>
    </row>
    <row r="205" spans="2:65" s="2195" customFormat="1">
      <c r="B205" s="2196"/>
      <c r="D205" s="2197" t="s">
        <v>3303</v>
      </c>
      <c r="E205" s="2198" t="s">
        <v>3146</v>
      </c>
      <c r="F205" s="2199" t="s">
        <v>4625</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4214</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4626</v>
      </c>
      <c r="F207" s="4616" t="s">
        <v>4627</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4628</v>
      </c>
    </row>
    <row r="208" spans="2:65" s="2070" customFormat="1" ht="16.5" customHeight="1">
      <c r="B208" s="2164"/>
      <c r="C208" s="4608" t="s">
        <v>1220</v>
      </c>
      <c r="D208" s="4608" t="s">
        <v>3286</v>
      </c>
      <c r="E208" s="4609" t="s">
        <v>11067</v>
      </c>
      <c r="F208" s="4610" t="s">
        <v>11068</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11069</v>
      </c>
    </row>
    <row r="209" spans="2:65" s="2195" customFormat="1">
      <c r="B209" s="2196"/>
      <c r="D209" s="2197" t="s">
        <v>3303</v>
      </c>
      <c r="E209" s="2198" t="s">
        <v>3146</v>
      </c>
      <c r="F209" s="2199" t="s">
        <v>11070</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11071</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11072</v>
      </c>
      <c r="F213" s="4616" t="s">
        <v>11073</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11074</v>
      </c>
    </row>
    <row r="214" spans="2:65" s="2209" customFormat="1">
      <c r="B214" s="2210"/>
      <c r="D214" s="2197" t="s">
        <v>3303</v>
      </c>
      <c r="E214" s="2211" t="s">
        <v>3146</v>
      </c>
      <c r="F214" s="2212" t="s">
        <v>11075</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4629</v>
      </c>
      <c r="F215" s="4610" t="s">
        <v>4630</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4631</v>
      </c>
    </row>
    <row r="216" spans="2:65" s="2195" customFormat="1">
      <c r="B216" s="2196"/>
      <c r="D216" s="2197" t="s">
        <v>3303</v>
      </c>
      <c r="E216" s="2198" t="s">
        <v>3146</v>
      </c>
      <c r="F216" s="2199" t="s">
        <v>4632</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4633</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4634</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4635</v>
      </c>
      <c r="F221" s="4616" t="s">
        <v>4636</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4637</v>
      </c>
    </row>
    <row r="222" spans="2:65" s="2195" customFormat="1">
      <c r="B222" s="2196"/>
      <c r="D222" s="2197" t="s">
        <v>3303</v>
      </c>
      <c r="E222" s="2198" t="s">
        <v>3146</v>
      </c>
      <c r="F222" s="2199" t="s">
        <v>4632</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4633</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4634</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11076</v>
      </c>
      <c r="F227" s="4610" t="s">
        <v>11077</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11078</v>
      </c>
    </row>
    <row r="228" spans="2:65" s="2195" customFormat="1" ht="22.5">
      <c r="B228" s="2196"/>
      <c r="D228" s="2197" t="s">
        <v>3303</v>
      </c>
      <c r="E228" s="2198" t="s">
        <v>3146</v>
      </c>
      <c r="F228" s="2199" t="s">
        <v>11079</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11080</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11081</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11082</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11083</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11084</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4638</v>
      </c>
      <c r="F235" s="4610" t="s">
        <v>4639</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4640</v>
      </c>
    </row>
    <row r="236" spans="2:65" s="2195" customFormat="1">
      <c r="B236" s="2196"/>
      <c r="D236" s="2197" t="s">
        <v>3303</v>
      </c>
      <c r="E236" s="2198" t="s">
        <v>3146</v>
      </c>
      <c r="F236" s="2199" t="s">
        <v>4641</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4214</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4642</v>
      </c>
      <c r="F238" s="4610" t="s">
        <v>4643</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4644</v>
      </c>
    </row>
    <row r="239" spans="2:65" s="2195" customFormat="1">
      <c r="B239" s="2196"/>
      <c r="D239" s="2197" t="s">
        <v>3303</v>
      </c>
      <c r="E239" s="2198" t="s">
        <v>3146</v>
      </c>
      <c r="F239" s="2199" t="s">
        <v>4645</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4646</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4647</v>
      </c>
      <c r="F241" s="4616" t="s">
        <v>4648</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4649</v>
      </c>
    </row>
    <row r="242" spans="2:65" s="2209" customFormat="1">
      <c r="B242" s="2210"/>
      <c r="D242" s="2197" t="s">
        <v>3303</v>
      </c>
      <c r="E242" s="2211" t="s">
        <v>3146</v>
      </c>
      <c r="F242" s="2212" t="s">
        <v>4650</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4651</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4652</v>
      </c>
      <c r="F244" s="4610" t="s">
        <v>4653</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4654</v>
      </c>
    </row>
    <row r="245" spans="2:65" s="2209" customFormat="1">
      <c r="B245" s="2210"/>
      <c r="D245" s="2197" t="s">
        <v>3303</v>
      </c>
      <c r="E245" s="2211" t="s">
        <v>3146</v>
      </c>
      <c r="F245" s="2212" t="s">
        <v>4655</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4656</v>
      </c>
      <c r="F247" s="4616" t="s">
        <v>4657</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4658</v>
      </c>
    </row>
    <row r="248" spans="2:65" s="2070" customFormat="1" ht="21.75" customHeight="1">
      <c r="B248" s="2164"/>
      <c r="C248" s="4614" t="s">
        <v>3395</v>
      </c>
      <c r="D248" s="4614" t="s">
        <v>135</v>
      </c>
      <c r="E248" s="4615" t="s">
        <v>4659</v>
      </c>
      <c r="F248" s="4616" t="s">
        <v>4660</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4661</v>
      </c>
    </row>
    <row r="249" spans="2:65" s="2070" customFormat="1" ht="24.2" customHeight="1">
      <c r="B249" s="2164"/>
      <c r="C249" s="4608" t="s">
        <v>3399</v>
      </c>
      <c r="D249" s="4608" t="s">
        <v>3286</v>
      </c>
      <c r="E249" s="4609" t="s">
        <v>4662</v>
      </c>
      <c r="F249" s="4610" t="s">
        <v>4663</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4664</v>
      </c>
    </row>
    <row r="250" spans="2:65" s="2070" customFormat="1" ht="24.2" customHeight="1">
      <c r="B250" s="2164"/>
      <c r="C250" s="4608" t="s">
        <v>2152</v>
      </c>
      <c r="D250" s="4608" t="s">
        <v>3286</v>
      </c>
      <c r="E250" s="4609" t="s">
        <v>4665</v>
      </c>
      <c r="F250" s="4610" t="s">
        <v>4666</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4667</v>
      </c>
    </row>
    <row r="251" spans="2:65" s="2209" customFormat="1">
      <c r="B251" s="2210"/>
      <c r="D251" s="2197" t="s">
        <v>3303</v>
      </c>
      <c r="E251" s="2211" t="s">
        <v>3146</v>
      </c>
      <c r="F251" s="2212" t="s">
        <v>4668</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4669</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4670</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4671</v>
      </c>
      <c r="F255" s="4616" t="s">
        <v>4672</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4673</v>
      </c>
    </row>
    <row r="256" spans="2:65" s="2209" customFormat="1">
      <c r="B256" s="2210"/>
      <c r="D256" s="2197" t="s">
        <v>3303</v>
      </c>
      <c r="E256" s="2211" t="s">
        <v>3146</v>
      </c>
      <c r="F256" s="2212" t="s">
        <v>4668</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4669</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4674</v>
      </c>
      <c r="F259" s="4616" t="s">
        <v>4675</v>
      </c>
      <c r="G259" s="4617" t="s">
        <v>4676</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4677</v>
      </c>
    </row>
    <row r="260" spans="2:65" s="2070" customFormat="1" ht="24.2" customHeight="1">
      <c r="B260" s="2164"/>
      <c r="C260" s="4608" t="s">
        <v>685</v>
      </c>
      <c r="D260" s="4608" t="s">
        <v>3286</v>
      </c>
      <c r="E260" s="4609" t="s">
        <v>4678</v>
      </c>
      <c r="F260" s="4610" t="s">
        <v>4679</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4680</v>
      </c>
    </row>
    <row r="261" spans="2:65" s="2070" customFormat="1" ht="24.2" customHeight="1">
      <c r="B261" s="2164"/>
      <c r="C261" s="4608" t="s">
        <v>2605</v>
      </c>
      <c r="D261" s="4608" t="s">
        <v>3286</v>
      </c>
      <c r="E261" s="4609" t="s">
        <v>4681</v>
      </c>
      <c r="F261" s="4610" t="s">
        <v>4682</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4683</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3921</v>
      </c>
      <c r="F263" s="2188" t="s">
        <v>988</v>
      </c>
      <c r="J263" s="2189">
        <f>BK263</f>
        <v>0</v>
      </c>
      <c r="L263" s="2179"/>
      <c r="M263" s="2183"/>
      <c r="P263" s="2184">
        <f>P264</f>
        <v>251.77017000000001</v>
      </c>
      <c r="R263" s="2184">
        <f>R264</f>
        <v>0</v>
      </c>
      <c r="T263" s="2185">
        <f>T264</f>
        <v>0</v>
      </c>
      <c r="AR263" s="2180" t="s">
        <v>133</v>
      </c>
      <c r="AT263" s="2186" t="s">
        <v>3212</v>
      </c>
      <c r="AU263" s="2186" t="s">
        <v>133</v>
      </c>
      <c r="AY263" s="2180" t="s">
        <v>3285</v>
      </c>
      <c r="BK263" s="2187">
        <f>BK264</f>
        <v>0</v>
      </c>
    </row>
    <row r="264" spans="2:65" s="2070" customFormat="1" ht="21.75" customHeight="1">
      <c r="B264" s="2164"/>
      <c r="C264" s="5561" t="s">
        <v>2616</v>
      </c>
      <c r="D264" s="4608" t="s">
        <v>3286</v>
      </c>
      <c r="E264" s="4609" t="s">
        <v>11085</v>
      </c>
      <c r="F264" s="4610" t="s">
        <v>11086</v>
      </c>
      <c r="G264" s="4611" t="s">
        <v>302</v>
      </c>
      <c r="H264" s="5568">
        <v>51.069000000000003</v>
      </c>
      <c r="I264" s="4613"/>
      <c r="J264" s="4613">
        <f>ROUND(I264*H264,2)</f>
        <v>0</v>
      </c>
      <c r="K264" s="4610" t="s">
        <v>142</v>
      </c>
      <c r="L264" s="2071"/>
      <c r="M264" s="2190" t="s">
        <v>3146</v>
      </c>
      <c r="N264" s="2163" t="s">
        <v>3181</v>
      </c>
      <c r="O264" s="2191">
        <v>4.93</v>
      </c>
      <c r="P264" s="2191">
        <f>O264*H264</f>
        <v>251.77017000000001</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11087</v>
      </c>
    </row>
    <row r="265" spans="2:65" s="2178" customFormat="1" ht="25.9" customHeight="1">
      <c r="B265" s="2179"/>
      <c r="D265" s="2180" t="s">
        <v>3212</v>
      </c>
      <c r="E265" s="2181" t="s">
        <v>995</v>
      </c>
      <c r="F265" s="2181" t="s">
        <v>996</v>
      </c>
      <c r="J265" s="2182">
        <f>BK265</f>
        <v>0</v>
      </c>
      <c r="L265" s="2179"/>
      <c r="M265" s="2183"/>
      <c r="P265" s="2184">
        <f>P266+P272+P295+P307+P319+P478+P489+P501+P511+P556+P579+P740+P902+P1616+P1629+P1643+P1704+P1870</f>
        <v>13420.241381999997</v>
      </c>
      <c r="R265" s="2184">
        <f>R266+R272+R295+R307+R319+R478+R489+R501+R511+R556+R579+R740+R902+R1616+R1629+R1643+R1704+R1870</f>
        <v>252.57622519999998</v>
      </c>
      <c r="T265" s="2185">
        <f>T266+T272+T295+T307+T319+T478+T489+T501+T511+T556+T579+T740+T902+T1616+T1629+T1643+T1704+T1870</f>
        <v>0</v>
      </c>
      <c r="AR265" s="2180" t="s">
        <v>134</v>
      </c>
      <c r="AT265" s="2186" t="s">
        <v>3212</v>
      </c>
      <c r="AU265" s="2186" t="s">
        <v>3213</v>
      </c>
      <c r="AY265" s="2180" t="s">
        <v>3285</v>
      </c>
      <c r="BK265" s="2187">
        <f>BK266+BK272+BK295+BK307+BK319+BK478+BK489+BK501+BK511+BK556+BK579+BK740+BK902+BK1616+BK1629+BK1643+BK1704+BK1870</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4684</v>
      </c>
      <c r="F267" s="4610" t="s">
        <v>4685</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4686</v>
      </c>
    </row>
    <row r="268" spans="2:65" s="2070" customFormat="1" ht="16.5" customHeight="1">
      <c r="B268" s="2164"/>
      <c r="C268" s="4614" t="s">
        <v>2645</v>
      </c>
      <c r="D268" s="4614" t="s">
        <v>135</v>
      </c>
      <c r="E268" s="4615" t="s">
        <v>4687</v>
      </c>
      <c r="F268" s="4616" t="s">
        <v>4688</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4689</v>
      </c>
    </row>
    <row r="269" spans="2:65" s="2209" customFormat="1">
      <c r="B269" s="2210"/>
      <c r="D269" s="2197" t="s">
        <v>3303</v>
      </c>
      <c r="F269" s="2212" t="s">
        <v>4690</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11088</v>
      </c>
      <c r="F270" s="4610" t="s">
        <v>11089</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11090</v>
      </c>
    </row>
    <row r="271" spans="2:65" s="2070" customFormat="1" ht="24.2" customHeight="1">
      <c r="B271" s="2164"/>
      <c r="C271" s="4608" t="s">
        <v>2661</v>
      </c>
      <c r="D271" s="4608" t="s">
        <v>3286</v>
      </c>
      <c r="E271" s="4609" t="s">
        <v>4004</v>
      </c>
      <c r="F271" s="4610" t="s">
        <v>4005</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11091</v>
      </c>
    </row>
    <row r="272" spans="2:65" s="2178" customFormat="1" ht="22.9" customHeight="1">
      <c r="B272" s="2179"/>
      <c r="D272" s="2180" t="s">
        <v>3212</v>
      </c>
      <c r="E272" s="2188" t="s">
        <v>3931</v>
      </c>
      <c r="F272" s="2188" t="s">
        <v>3932</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4691</v>
      </c>
      <c r="F273" s="4610" t="s">
        <v>4692</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4693</v>
      </c>
    </row>
    <row r="274" spans="2:65" s="2195" customFormat="1">
      <c r="B274" s="2196"/>
      <c r="D274" s="2197" t="s">
        <v>3303</v>
      </c>
      <c r="E274" s="2198" t="s">
        <v>3146</v>
      </c>
      <c r="F274" s="2199" t="s">
        <v>4694</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4695</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4696</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4697</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4698</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4699</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4700</v>
      </c>
      <c r="F281" s="4616" t="s">
        <v>4701</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4702</v>
      </c>
    </row>
    <row r="282" spans="2:65" s="2209" customFormat="1">
      <c r="B282" s="2210"/>
      <c r="D282" s="2197" t="s">
        <v>3303</v>
      </c>
      <c r="F282" s="2212" t="s">
        <v>4703</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4704</v>
      </c>
      <c r="F283" s="4610" t="s">
        <v>4705</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4706</v>
      </c>
    </row>
    <row r="284" spans="2:65" s="2195" customFormat="1">
      <c r="B284" s="2196"/>
      <c r="D284" s="2197" t="s">
        <v>3303</v>
      </c>
      <c r="E284" s="2198" t="s">
        <v>3146</v>
      </c>
      <c r="F284" s="2199" t="s">
        <v>4707</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4708</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4709</v>
      </c>
      <c r="F287" s="4610" t="s">
        <v>4710</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4711</v>
      </c>
    </row>
    <row r="288" spans="2:65" s="2195" customFormat="1">
      <c r="B288" s="2196"/>
      <c r="D288" s="2197" t="s">
        <v>3303</v>
      </c>
      <c r="E288" s="2198" t="s">
        <v>3146</v>
      </c>
      <c r="F288" s="2199" t="s">
        <v>4712</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3999</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4713</v>
      </c>
      <c r="F291" s="4616" t="s">
        <v>4714</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4715</v>
      </c>
    </row>
    <row r="292" spans="2:65" s="2209" customFormat="1">
      <c r="B292" s="2210"/>
      <c r="D292" s="2197" t="s">
        <v>3303</v>
      </c>
      <c r="F292" s="2212" t="s">
        <v>4716</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4344</v>
      </c>
      <c r="F293" s="4610" t="s">
        <v>4345</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11092</v>
      </c>
    </row>
    <row r="294" spans="2:65" s="2070" customFormat="1" ht="24.2" customHeight="1">
      <c r="B294" s="2164"/>
      <c r="C294" s="4608" t="s">
        <v>2433</v>
      </c>
      <c r="D294" s="4608" t="s">
        <v>3286</v>
      </c>
      <c r="E294" s="4609" t="s">
        <v>4347</v>
      </c>
      <c r="F294" s="4610" t="s">
        <v>4348</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11093</v>
      </c>
    </row>
    <row r="295" spans="2:65" s="2178" customFormat="1" ht="22.9" customHeight="1">
      <c r="B295" s="2179"/>
      <c r="D295" s="2180" t="s">
        <v>3212</v>
      </c>
      <c r="E295" s="2188" t="s">
        <v>4007</v>
      </c>
      <c r="F295" s="2188" t="s">
        <v>4008</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4717</v>
      </c>
      <c r="F296" s="4610" t="s">
        <v>4718</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4719</v>
      </c>
    </row>
    <row r="297" spans="2:65" s="2195" customFormat="1">
      <c r="B297" s="2196"/>
      <c r="D297" s="2197" t="s">
        <v>3303</v>
      </c>
      <c r="E297" s="2198" t="s">
        <v>3146</v>
      </c>
      <c r="F297" s="2199" t="s">
        <v>4582</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4720</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4721</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4722</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4723</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4724</v>
      </c>
      <c r="F303" s="4616" t="s">
        <v>4725</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4726</v>
      </c>
    </row>
    <row r="304" spans="2:65" s="2209" customFormat="1">
      <c r="B304" s="2210"/>
      <c r="D304" s="2197" t="s">
        <v>3303</v>
      </c>
      <c r="E304" s="2211" t="s">
        <v>3146</v>
      </c>
      <c r="F304" s="2212" t="s">
        <v>4727</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4377</v>
      </c>
      <c r="F305" s="4610" t="s">
        <v>4378</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11094</v>
      </c>
    </row>
    <row r="306" spans="2:65" s="2070" customFormat="1" ht="24.2" customHeight="1">
      <c r="B306" s="2164"/>
      <c r="C306" s="4608" t="s">
        <v>2225</v>
      </c>
      <c r="D306" s="4608" t="s">
        <v>3286</v>
      </c>
      <c r="E306" s="4609" t="s">
        <v>4380</v>
      </c>
      <c r="F306" s="4610" t="s">
        <v>4381</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11095</v>
      </c>
    </row>
    <row r="307" spans="2:65" s="2178" customFormat="1" ht="22.9" customHeight="1">
      <c r="B307" s="2179"/>
      <c r="D307" s="2180" t="s">
        <v>3212</v>
      </c>
      <c r="E307" s="2188" t="s">
        <v>4728</v>
      </c>
      <c r="F307" s="2188" t="s">
        <v>4729</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4730</v>
      </c>
      <c r="F308" s="4610" t="s">
        <v>4731</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4732</v>
      </c>
    </row>
    <row r="309" spans="2:65" s="2209" customFormat="1">
      <c r="B309" s="2210"/>
      <c r="D309" s="2197" t="s">
        <v>3303</v>
      </c>
      <c r="E309" s="2211" t="s">
        <v>3146</v>
      </c>
      <c r="F309" s="2212" t="s">
        <v>4733</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4734</v>
      </c>
      <c r="F311" s="4610" t="s">
        <v>4735</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4736</v>
      </c>
    </row>
    <row r="312" spans="2:65" s="2209" customFormat="1">
      <c r="B312" s="2210"/>
      <c r="D312" s="2197" t="s">
        <v>3303</v>
      </c>
      <c r="E312" s="2211" t="s">
        <v>3146</v>
      </c>
      <c r="F312" s="2212" t="s">
        <v>4737</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4738</v>
      </c>
      <c r="F313" s="4610" t="s">
        <v>4739</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4740</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4741</v>
      </c>
      <c r="F315" s="4610" t="s">
        <v>4742</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4743</v>
      </c>
    </row>
    <row r="316" spans="2:65" s="2209" customFormat="1">
      <c r="B316" s="2210"/>
      <c r="D316" s="2197" t="s">
        <v>3303</v>
      </c>
      <c r="E316" s="2211" t="s">
        <v>3146</v>
      </c>
      <c r="F316" s="2212" t="s">
        <v>4744</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11096</v>
      </c>
      <c r="F317" s="4610" t="s">
        <v>11097</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11098</v>
      </c>
    </row>
    <row r="318" spans="2:65" s="2070" customFormat="1" ht="24.2" customHeight="1">
      <c r="B318" s="2164"/>
      <c r="C318" s="4608" t="s">
        <v>2999</v>
      </c>
      <c r="D318" s="4608" t="s">
        <v>3286</v>
      </c>
      <c r="E318" s="4609" t="s">
        <v>11099</v>
      </c>
      <c r="F318" s="4610" t="s">
        <v>11100</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11101</v>
      </c>
    </row>
    <row r="319" spans="2:65" s="2178" customFormat="1" ht="22.9" customHeight="1">
      <c r="B319" s="2179"/>
      <c r="D319" s="2180" t="s">
        <v>3212</v>
      </c>
      <c r="E319" s="2188" t="s">
        <v>4745</v>
      </c>
      <c r="F319" s="2188" t="s">
        <v>4746</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4747</v>
      </c>
      <c r="F320" s="4610" t="s">
        <v>4748</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4749</v>
      </c>
    </row>
    <row r="321" spans="2:65" s="2195" customFormat="1">
      <c r="B321" s="2196"/>
      <c r="D321" s="2197" t="s">
        <v>3303</v>
      </c>
      <c r="E321" s="2198" t="s">
        <v>3146</v>
      </c>
      <c r="F321" s="2199" t="s">
        <v>4750</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4751</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4752</v>
      </c>
      <c r="F323" s="4610" t="s">
        <v>4753</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4754</v>
      </c>
    </row>
    <row r="324" spans="2:65" s="2195" customFormat="1">
      <c r="B324" s="2196"/>
      <c r="D324" s="2197" t="s">
        <v>3303</v>
      </c>
      <c r="E324" s="2198" t="s">
        <v>3146</v>
      </c>
      <c r="F324" s="2199" t="s">
        <v>4755</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4756</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4757</v>
      </c>
      <c r="F326" s="4610" t="s">
        <v>4758</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4759</v>
      </c>
    </row>
    <row r="327" spans="2:65" s="2195" customFormat="1">
      <c r="B327" s="2196"/>
      <c r="D327" s="2197" t="s">
        <v>3303</v>
      </c>
      <c r="E327" s="2198" t="s">
        <v>3146</v>
      </c>
      <c r="F327" s="2199" t="s">
        <v>4760</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4761</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4762</v>
      </c>
      <c r="F329" s="4610" t="s">
        <v>4763</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4764</v>
      </c>
    </row>
    <row r="330" spans="2:65" s="2195" customFormat="1">
      <c r="B330" s="2196"/>
      <c r="D330" s="2197" t="s">
        <v>3303</v>
      </c>
      <c r="E330" s="2198" t="s">
        <v>3146</v>
      </c>
      <c r="F330" s="2199" t="s">
        <v>4765</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4766</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4767</v>
      </c>
      <c r="F332" s="4610" t="s">
        <v>4768</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4769</v>
      </c>
    </row>
    <row r="333" spans="2:65" s="2195" customFormat="1">
      <c r="B333" s="2196"/>
      <c r="D333" s="2197" t="s">
        <v>3303</v>
      </c>
      <c r="E333" s="2198" t="s">
        <v>3146</v>
      </c>
      <c r="F333" s="2199" t="s">
        <v>4770</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4771</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4772</v>
      </c>
      <c r="F336" s="4610" t="s">
        <v>4773</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4774</v>
      </c>
    </row>
    <row r="337" spans="2:65" s="2195" customFormat="1">
      <c r="B337" s="2196"/>
      <c r="D337" s="2197" t="s">
        <v>3303</v>
      </c>
      <c r="E337" s="2198" t="s">
        <v>3146</v>
      </c>
      <c r="F337" s="2199" t="s">
        <v>4775</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4776</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11575</v>
      </c>
      <c r="F340" s="4610" t="s">
        <v>11576</v>
      </c>
      <c r="G340" s="4611" t="s">
        <v>155</v>
      </c>
      <c r="H340" s="4612">
        <v>14</v>
      </c>
      <c r="I340" s="4613"/>
      <c r="J340" s="5571" t="s">
        <v>11732</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4774</v>
      </c>
    </row>
    <row r="341" spans="2:65" s="2195" customFormat="1">
      <c r="B341" s="2196"/>
      <c r="C341" s="5574"/>
      <c r="D341" s="2197" t="s">
        <v>3303</v>
      </c>
      <c r="E341" s="2198" t="s">
        <v>3146</v>
      </c>
      <c r="F341" s="2199" t="s">
        <v>11577</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11578</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4777</v>
      </c>
      <c r="F344" s="4610" t="s">
        <v>4778</v>
      </c>
      <c r="G344" s="4611" t="s">
        <v>155</v>
      </c>
      <c r="H344" s="4612">
        <v>28</v>
      </c>
      <c r="I344" s="4613"/>
      <c r="J344" s="5571" t="s">
        <v>11732</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4779</v>
      </c>
    </row>
    <row r="345" spans="2:65" s="2195" customFormat="1">
      <c r="B345" s="2196"/>
      <c r="C345" s="5574"/>
      <c r="D345" s="2197" t="s">
        <v>3303</v>
      </c>
      <c r="E345" s="2198" t="s">
        <v>3146</v>
      </c>
      <c r="F345" s="2199" t="s">
        <v>4780</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4781</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4782</v>
      </c>
      <c r="F348" s="4610" t="s">
        <v>4783</v>
      </c>
      <c r="G348" s="4611" t="s">
        <v>155</v>
      </c>
      <c r="H348" s="4612">
        <v>100</v>
      </c>
      <c r="I348" s="4613"/>
      <c r="J348" s="5571" t="s">
        <v>11732</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4784</v>
      </c>
    </row>
    <row r="349" spans="2:65" s="2195" customFormat="1">
      <c r="B349" s="2196"/>
      <c r="C349" s="5574"/>
      <c r="D349" s="2197" t="s">
        <v>3303</v>
      </c>
      <c r="E349" s="2198" t="s">
        <v>3146</v>
      </c>
      <c r="F349" s="2199" t="s">
        <v>4785</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4786</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4787</v>
      </c>
      <c r="F352" s="4610" t="s">
        <v>4788</v>
      </c>
      <c r="G352" s="4611" t="s">
        <v>155</v>
      </c>
      <c r="H352" s="4612">
        <v>55</v>
      </c>
      <c r="I352" s="4613"/>
      <c r="J352" s="5571" t="s">
        <v>11732</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4789</v>
      </c>
    </row>
    <row r="353" spans="2:65" s="2195" customFormat="1">
      <c r="B353" s="2196"/>
      <c r="D353" s="2197" t="s">
        <v>3303</v>
      </c>
      <c r="E353" s="2198" t="s">
        <v>3146</v>
      </c>
      <c r="F353" s="2199" t="s">
        <v>4790</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4791</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4792</v>
      </c>
      <c r="F356" s="4610" t="s">
        <v>4793</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4794</v>
      </c>
    </row>
    <row r="357" spans="2:65" s="2195" customFormat="1">
      <c r="B357" s="2196"/>
      <c r="D357" s="2197" t="s">
        <v>3303</v>
      </c>
      <c r="E357" s="2198" t="s">
        <v>3146</v>
      </c>
      <c r="F357" s="2199" t="s">
        <v>4795</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4796</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4797</v>
      </c>
      <c r="F360" s="4610" t="s">
        <v>4798</v>
      </c>
      <c r="G360" s="4611" t="s">
        <v>155</v>
      </c>
      <c r="H360" s="4612">
        <v>7</v>
      </c>
      <c r="I360" s="4613"/>
      <c r="J360" s="5571" t="s">
        <v>11732</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4799</v>
      </c>
    </row>
    <row r="361" spans="2:65" s="2195" customFormat="1">
      <c r="B361" s="2196"/>
      <c r="C361" s="5574"/>
      <c r="D361" s="2197" t="s">
        <v>3303</v>
      </c>
      <c r="E361" s="2198" t="s">
        <v>3146</v>
      </c>
      <c r="F361" s="2199" t="s">
        <v>4800</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4801</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4802</v>
      </c>
      <c r="F364" s="4610" t="s">
        <v>4803</v>
      </c>
      <c r="G364" s="4611" t="s">
        <v>155</v>
      </c>
      <c r="H364" s="4612">
        <v>5</v>
      </c>
      <c r="I364" s="4613"/>
      <c r="J364" s="5571" t="s">
        <v>11732</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4804</v>
      </c>
    </row>
    <row r="365" spans="2:65" s="2195" customFormat="1">
      <c r="B365" s="2196"/>
      <c r="C365" s="5574"/>
      <c r="D365" s="2197" t="s">
        <v>3303</v>
      </c>
      <c r="E365" s="2198" t="s">
        <v>3146</v>
      </c>
      <c r="F365" s="2199" t="s">
        <v>4805</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4806</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4807</v>
      </c>
      <c r="F368" s="4610" t="s">
        <v>4808</v>
      </c>
      <c r="G368" s="4611" t="s">
        <v>155</v>
      </c>
      <c r="H368" s="4612">
        <v>4</v>
      </c>
      <c r="I368" s="4613"/>
      <c r="J368" s="5571" t="s">
        <v>11732</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4809</v>
      </c>
    </row>
    <row r="369" spans="2:65" s="2195" customFormat="1">
      <c r="B369" s="2196"/>
      <c r="C369" s="5574"/>
      <c r="D369" s="2197" t="s">
        <v>3303</v>
      </c>
      <c r="E369" s="2198" t="s">
        <v>3146</v>
      </c>
      <c r="F369" s="2199" t="s">
        <v>4810</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4811</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4812</v>
      </c>
      <c r="F372" s="4610" t="s">
        <v>4813</v>
      </c>
      <c r="G372" s="4611" t="s">
        <v>3795</v>
      </c>
      <c r="H372" s="4612">
        <v>25</v>
      </c>
      <c r="I372" s="4613"/>
      <c r="J372" s="5571" t="s">
        <v>11732</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4814</v>
      </c>
    </row>
    <row r="373" spans="2:65" s="2195" customFormat="1">
      <c r="B373" s="2196"/>
      <c r="C373" s="5574"/>
      <c r="D373" s="2197" t="s">
        <v>3303</v>
      </c>
      <c r="E373" s="2198" t="s">
        <v>3146</v>
      </c>
      <c r="F373" s="2199" t="s">
        <v>4815</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4816</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4817</v>
      </c>
      <c r="F375" s="4610" t="s">
        <v>4818</v>
      </c>
      <c r="G375" s="4611" t="s">
        <v>3795</v>
      </c>
      <c r="H375" s="4612">
        <v>12</v>
      </c>
      <c r="I375" s="4613"/>
      <c r="J375" s="5571" t="s">
        <v>11732</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4819</v>
      </c>
    </row>
    <row r="376" spans="2:65" s="2195" customFormat="1">
      <c r="B376" s="2196"/>
      <c r="C376" s="5574"/>
      <c r="D376" s="2197" t="s">
        <v>3303</v>
      </c>
      <c r="E376" s="2198" t="s">
        <v>3146</v>
      </c>
      <c r="F376" s="2199" t="s">
        <v>4820</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4821</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4822</v>
      </c>
      <c r="F378" s="4610" t="s">
        <v>4823</v>
      </c>
      <c r="G378" s="4611" t="s">
        <v>3795</v>
      </c>
      <c r="H378" s="4612">
        <v>24</v>
      </c>
      <c r="I378" s="4613"/>
      <c r="J378" s="5571" t="s">
        <v>11732</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4824</v>
      </c>
    </row>
    <row r="379" spans="2:65" s="2195" customFormat="1">
      <c r="B379" s="2196"/>
      <c r="C379" s="5574"/>
      <c r="D379" s="2197" t="s">
        <v>3303</v>
      </c>
      <c r="E379" s="2198" t="s">
        <v>3146</v>
      </c>
      <c r="F379" s="2199" t="s">
        <v>4825</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4826</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4827</v>
      </c>
      <c r="F382" s="4610" t="s">
        <v>4828</v>
      </c>
      <c r="G382" s="4611" t="s">
        <v>3795</v>
      </c>
      <c r="H382" s="4612">
        <v>33</v>
      </c>
      <c r="I382" s="4613"/>
      <c r="J382" s="5571" t="s">
        <v>11732</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4829</v>
      </c>
    </row>
    <row r="383" spans="2:65" s="2195" customFormat="1">
      <c r="B383" s="2196"/>
      <c r="C383" s="5574"/>
      <c r="D383" s="2197" t="s">
        <v>3303</v>
      </c>
      <c r="E383" s="2198" t="s">
        <v>3146</v>
      </c>
      <c r="F383" s="2199" t="s">
        <v>4830</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4831</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4832</v>
      </c>
      <c r="F386" s="4610" t="s">
        <v>4833</v>
      </c>
      <c r="G386" s="4611" t="s">
        <v>3795</v>
      </c>
      <c r="H386" s="4612">
        <v>38</v>
      </c>
      <c r="I386" s="4613"/>
      <c r="J386" s="5571" t="s">
        <v>11732</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4834</v>
      </c>
    </row>
    <row r="387" spans="2:65" s="2195" customFormat="1">
      <c r="B387" s="2196"/>
      <c r="D387" s="2197" t="s">
        <v>3303</v>
      </c>
      <c r="E387" s="2198" t="s">
        <v>3146</v>
      </c>
      <c r="F387" s="2199" t="s">
        <v>4835</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4836</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4837</v>
      </c>
      <c r="F390" s="4610" t="s">
        <v>4838</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4839</v>
      </c>
    </row>
    <row r="391" spans="2:65" s="2209" customFormat="1">
      <c r="B391" s="2210"/>
      <c r="D391" s="2197" t="s">
        <v>3303</v>
      </c>
      <c r="E391" s="2211" t="s">
        <v>3146</v>
      </c>
      <c r="F391" s="2212" t="s">
        <v>4840</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4841</v>
      </c>
      <c r="F392" s="4610" t="s">
        <v>4842</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4843</v>
      </c>
    </row>
    <row r="393" spans="2:65" s="2209" customFormat="1">
      <c r="B393" s="2210"/>
      <c r="D393" s="2197" t="s">
        <v>3303</v>
      </c>
      <c r="E393" s="2211" t="s">
        <v>3146</v>
      </c>
      <c r="F393" s="2212" t="s">
        <v>4840</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4844</v>
      </c>
      <c r="F394" s="4610" t="s">
        <v>4845</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4846</v>
      </c>
    </row>
    <row r="395" spans="2:65" s="2209" customFormat="1">
      <c r="B395" s="2210"/>
      <c r="D395" s="2197" t="s">
        <v>3303</v>
      </c>
      <c r="E395" s="2211" t="s">
        <v>3146</v>
      </c>
      <c r="F395" s="2212" t="s">
        <v>4840</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4847</v>
      </c>
      <c r="F396" s="4610" t="s">
        <v>4848</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4849</v>
      </c>
    </row>
    <row r="397" spans="2:65" s="2209" customFormat="1">
      <c r="B397" s="2210"/>
      <c r="D397" s="2197" t="s">
        <v>3303</v>
      </c>
      <c r="E397" s="2211" t="s">
        <v>3146</v>
      </c>
      <c r="F397" s="2212" t="s">
        <v>4850</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4851</v>
      </c>
      <c r="F398" s="4610" t="s">
        <v>4852</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4853</v>
      </c>
    </row>
    <row r="399" spans="2:65" s="2209" customFormat="1">
      <c r="B399" s="2210"/>
      <c r="D399" s="2197" t="s">
        <v>3303</v>
      </c>
      <c r="E399" s="2211" t="s">
        <v>3146</v>
      </c>
      <c r="F399" s="2212" t="s">
        <v>4850</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4854</v>
      </c>
      <c r="F400" s="4610" t="s">
        <v>4855</v>
      </c>
      <c r="G400" s="4611" t="s">
        <v>155</v>
      </c>
      <c r="H400" s="4612">
        <v>1</v>
      </c>
      <c r="I400" s="4613"/>
      <c r="J400" s="5571" t="s">
        <v>11732</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4856</v>
      </c>
    </row>
    <row r="401" spans="2:65" s="2195" customFormat="1">
      <c r="B401" s="2196"/>
      <c r="C401" s="5574"/>
      <c r="D401" s="2197" t="s">
        <v>3303</v>
      </c>
      <c r="E401" s="2198" t="s">
        <v>3146</v>
      </c>
      <c r="F401" s="2199" t="s">
        <v>4857</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4858</v>
      </c>
      <c r="F403" s="4610" t="s">
        <v>4859</v>
      </c>
      <c r="G403" s="4611" t="s">
        <v>155</v>
      </c>
      <c r="H403" s="4612">
        <v>1</v>
      </c>
      <c r="I403" s="4613"/>
      <c r="J403" s="5571" t="s">
        <v>11732</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4860</v>
      </c>
    </row>
    <row r="404" spans="2:65" s="2195" customFormat="1">
      <c r="B404" s="2196"/>
      <c r="C404" s="5574"/>
      <c r="D404" s="2197" t="s">
        <v>3303</v>
      </c>
      <c r="E404" s="2198" t="s">
        <v>3146</v>
      </c>
      <c r="F404" s="2199" t="s">
        <v>4861</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4862</v>
      </c>
      <c r="F406" s="4610" t="s">
        <v>4863</v>
      </c>
      <c r="G406" s="4611" t="s">
        <v>155</v>
      </c>
      <c r="H406" s="4612">
        <v>1</v>
      </c>
      <c r="I406" s="4613"/>
      <c r="J406" s="5571" t="s">
        <v>11732</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4864</v>
      </c>
    </row>
    <row r="407" spans="2:65" s="2195" customFormat="1">
      <c r="B407" s="2196"/>
      <c r="C407" s="5574"/>
      <c r="D407" s="2197" t="s">
        <v>3303</v>
      </c>
      <c r="E407" s="2198" t="s">
        <v>3146</v>
      </c>
      <c r="F407" s="2199" t="s">
        <v>4865</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4866</v>
      </c>
      <c r="F409" s="4610" t="s">
        <v>4867</v>
      </c>
      <c r="G409" s="4611" t="s">
        <v>155</v>
      </c>
      <c r="H409" s="4612">
        <v>0</v>
      </c>
      <c r="I409" s="4613"/>
      <c r="J409" s="5571" t="s">
        <v>11732</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4868</v>
      </c>
    </row>
    <row r="410" spans="2:65" s="2195" customFormat="1">
      <c r="B410" s="2196"/>
      <c r="C410" s="5574"/>
      <c r="D410" s="2197" t="s">
        <v>3303</v>
      </c>
      <c r="E410" s="2198" t="s">
        <v>3146</v>
      </c>
      <c r="F410" s="2199" t="s">
        <v>4869</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4870</v>
      </c>
      <c r="F412" s="4610" t="s">
        <v>4871</v>
      </c>
      <c r="G412" s="4611" t="s">
        <v>155</v>
      </c>
      <c r="H412" s="4612">
        <v>1</v>
      </c>
      <c r="I412" s="4613"/>
      <c r="J412" s="5571" t="s">
        <v>11732</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4872</v>
      </c>
    </row>
    <row r="413" spans="2:65" s="2195" customFormat="1">
      <c r="B413" s="2196"/>
      <c r="C413" s="5574"/>
      <c r="D413" s="2197" t="s">
        <v>3303</v>
      </c>
      <c r="E413" s="2198" t="s">
        <v>3146</v>
      </c>
      <c r="F413" s="2199" t="s">
        <v>4873</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4874</v>
      </c>
      <c r="F415" s="4610" t="s">
        <v>4875</v>
      </c>
      <c r="G415" s="4611" t="s">
        <v>155</v>
      </c>
      <c r="H415" s="4612">
        <v>1</v>
      </c>
      <c r="I415" s="4613"/>
      <c r="J415" s="5571" t="s">
        <v>11732</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4876</v>
      </c>
    </row>
    <row r="416" spans="2:65" s="2195" customFormat="1">
      <c r="B416" s="2196"/>
      <c r="C416" s="5574"/>
      <c r="D416" s="2197" t="s">
        <v>3303</v>
      </c>
      <c r="E416" s="2198" t="s">
        <v>3146</v>
      </c>
      <c r="F416" s="2199" t="s">
        <v>4877</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4878</v>
      </c>
      <c r="F418" s="4610" t="s">
        <v>4879</v>
      </c>
      <c r="G418" s="4611" t="s">
        <v>155</v>
      </c>
      <c r="H418" s="4612">
        <v>1</v>
      </c>
      <c r="I418" s="4613"/>
      <c r="J418" s="5571" t="s">
        <v>11732</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4880</v>
      </c>
    </row>
    <row r="419" spans="2:65" s="2195" customFormat="1">
      <c r="B419" s="2196"/>
      <c r="C419" s="5574"/>
      <c r="D419" s="2197" t="s">
        <v>3303</v>
      </c>
      <c r="E419" s="2198" t="s">
        <v>3146</v>
      </c>
      <c r="F419" s="2199" t="s">
        <v>4881</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4882</v>
      </c>
      <c r="F421" s="4610" t="s">
        <v>4883</v>
      </c>
      <c r="G421" s="4611" t="s">
        <v>155</v>
      </c>
      <c r="H421" s="4612">
        <v>2</v>
      </c>
      <c r="I421" s="4613"/>
      <c r="J421" s="5571" t="s">
        <v>11732</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4884</v>
      </c>
    </row>
    <row r="422" spans="2:65" s="2195" customFormat="1">
      <c r="B422" s="2196"/>
      <c r="C422" s="5574"/>
      <c r="D422" s="2197" t="s">
        <v>3303</v>
      </c>
      <c r="E422" s="2198" t="s">
        <v>3146</v>
      </c>
      <c r="F422" s="2199" t="s">
        <v>4885</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4886</v>
      </c>
      <c r="F424" s="4610" t="s">
        <v>4887</v>
      </c>
      <c r="G424" s="4611" t="s">
        <v>155</v>
      </c>
      <c r="H424" s="4612">
        <v>6</v>
      </c>
      <c r="I424" s="4613"/>
      <c r="J424" s="5571" t="s">
        <v>11732</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4888</v>
      </c>
    </row>
    <row r="425" spans="2:65" s="2195" customFormat="1">
      <c r="B425" s="2196"/>
      <c r="C425" s="5574"/>
      <c r="D425" s="2197" t="s">
        <v>3303</v>
      </c>
      <c r="E425" s="2198" t="s">
        <v>3146</v>
      </c>
      <c r="F425" s="2199" t="s">
        <v>4889</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4890</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4891</v>
      </c>
      <c r="F427" s="4610" t="s">
        <v>4892</v>
      </c>
      <c r="G427" s="4611" t="s">
        <v>155</v>
      </c>
      <c r="H427" s="4612">
        <v>1</v>
      </c>
      <c r="I427" s="4613"/>
      <c r="J427" s="5571" t="s">
        <v>11732</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4893</v>
      </c>
    </row>
    <row r="428" spans="2:65" s="2195" customFormat="1">
      <c r="B428" s="2196"/>
      <c r="C428" s="5574"/>
      <c r="D428" s="2197" t="s">
        <v>3303</v>
      </c>
      <c r="E428" s="2198" t="s">
        <v>3146</v>
      </c>
      <c r="F428" s="2199" t="s">
        <v>4894</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4895</v>
      </c>
      <c r="F430" s="4610" t="s">
        <v>4896</v>
      </c>
      <c r="G430" s="4611" t="s">
        <v>155</v>
      </c>
      <c r="H430" s="4612">
        <v>1</v>
      </c>
      <c r="I430" s="4613"/>
      <c r="J430" s="5571" t="s">
        <v>11732</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4897</v>
      </c>
    </row>
    <row r="431" spans="2:65" s="2195" customFormat="1">
      <c r="B431" s="2196"/>
      <c r="C431" s="5574"/>
      <c r="D431" s="2197" t="s">
        <v>3303</v>
      </c>
      <c r="E431" s="2198" t="s">
        <v>3146</v>
      </c>
      <c r="F431" s="2199" t="s">
        <v>4898</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4899</v>
      </c>
      <c r="F433" s="4610" t="s">
        <v>4900</v>
      </c>
      <c r="G433" s="4611" t="s">
        <v>155</v>
      </c>
      <c r="H433" s="4612">
        <v>2</v>
      </c>
      <c r="I433" s="4613"/>
      <c r="J433" s="5571" t="s">
        <v>11732</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4901</v>
      </c>
    </row>
    <row r="434" spans="2:65" s="2195" customFormat="1">
      <c r="B434" s="2196"/>
      <c r="C434" s="5574"/>
      <c r="D434" s="2197" t="s">
        <v>3303</v>
      </c>
      <c r="E434" s="2198" t="s">
        <v>3146</v>
      </c>
      <c r="F434" s="2199" t="s">
        <v>4902</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4796</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4903</v>
      </c>
      <c r="F436" s="4610" t="s">
        <v>4904</v>
      </c>
      <c r="G436" s="4611" t="s">
        <v>155</v>
      </c>
      <c r="H436" s="4612">
        <v>2</v>
      </c>
      <c r="I436" s="4613"/>
      <c r="J436" s="5571" t="s">
        <v>11732</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4905</v>
      </c>
    </row>
    <row r="437" spans="2:65" s="2195" customFormat="1">
      <c r="B437" s="2196"/>
      <c r="C437" s="5574"/>
      <c r="D437" s="2197" t="s">
        <v>3303</v>
      </c>
      <c r="E437" s="2198" t="s">
        <v>3146</v>
      </c>
      <c r="F437" s="2199" t="s">
        <v>4906</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4796</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4907</v>
      </c>
      <c r="F439" s="4610" t="s">
        <v>4908</v>
      </c>
      <c r="G439" s="4611" t="s">
        <v>155</v>
      </c>
      <c r="H439" s="4612">
        <v>2</v>
      </c>
      <c r="I439" s="4613"/>
      <c r="J439" s="5571" t="s">
        <v>11732</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4909</v>
      </c>
    </row>
    <row r="440" spans="2:65" s="2195" customFormat="1">
      <c r="B440" s="2196"/>
      <c r="C440" s="5574"/>
      <c r="D440" s="2197" t="s">
        <v>3303</v>
      </c>
      <c r="E440" s="2198" t="s">
        <v>3146</v>
      </c>
      <c r="F440" s="2199" t="s">
        <v>4910</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4796</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4911</v>
      </c>
      <c r="F442" s="4610" t="s">
        <v>4912</v>
      </c>
      <c r="G442" s="4611" t="s">
        <v>155</v>
      </c>
      <c r="H442" s="4612">
        <v>2</v>
      </c>
      <c r="I442" s="4613"/>
      <c r="J442" s="5571" t="s">
        <v>11732</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4913</v>
      </c>
    </row>
    <row r="443" spans="2:65" s="2195" customFormat="1">
      <c r="B443" s="2196"/>
      <c r="D443" s="2197" t="s">
        <v>3303</v>
      </c>
      <c r="E443" s="2198" t="s">
        <v>3146</v>
      </c>
      <c r="F443" s="2199" t="s">
        <v>4914</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4796</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4915</v>
      </c>
      <c r="F445" s="4610" t="s">
        <v>4916</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4917</v>
      </c>
    </row>
    <row r="446" spans="2:65" s="2195" customFormat="1">
      <c r="B446" s="2196"/>
      <c r="D446" s="2197" t="s">
        <v>3303</v>
      </c>
      <c r="E446" s="2198" t="s">
        <v>3146</v>
      </c>
      <c r="F446" s="2199" t="s">
        <v>4918</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4796</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4919</v>
      </c>
      <c r="F448" s="4610" t="s">
        <v>4920</v>
      </c>
      <c r="G448" s="4611" t="s">
        <v>155</v>
      </c>
      <c r="H448" s="4612">
        <v>2</v>
      </c>
      <c r="I448" s="4613"/>
      <c r="J448" s="5571" t="s">
        <v>11732</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4921</v>
      </c>
    </row>
    <row r="449" spans="2:65" s="2195" customFormat="1">
      <c r="B449" s="2196"/>
      <c r="C449" s="5574"/>
      <c r="D449" s="2197" t="s">
        <v>3303</v>
      </c>
      <c r="E449" s="2198" t="s">
        <v>3146</v>
      </c>
      <c r="F449" s="2199" t="s">
        <v>4922</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4796</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4923</v>
      </c>
      <c r="F451" s="4610" t="s">
        <v>4924</v>
      </c>
      <c r="G451" s="4611" t="s">
        <v>155</v>
      </c>
      <c r="H451" s="4612">
        <v>2</v>
      </c>
      <c r="I451" s="4613"/>
      <c r="J451" s="5571" t="s">
        <v>11732</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4925</v>
      </c>
    </row>
    <row r="452" spans="2:65" s="2195" customFormat="1">
      <c r="B452" s="2196"/>
      <c r="D452" s="2197" t="s">
        <v>3303</v>
      </c>
      <c r="E452" s="2198" t="s">
        <v>3146</v>
      </c>
      <c r="F452" s="2199" t="s">
        <v>4926</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4796</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4927</v>
      </c>
      <c r="F454" s="4610" t="s">
        <v>4928</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4929</v>
      </c>
    </row>
    <row r="455" spans="2:65" s="2195" customFormat="1">
      <c r="B455" s="2196"/>
      <c r="D455" s="2197" t="s">
        <v>3303</v>
      </c>
      <c r="E455" s="2198" t="s">
        <v>3146</v>
      </c>
      <c r="F455" s="2199" t="s">
        <v>4930</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4796</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4931</v>
      </c>
      <c r="F457" s="4610" t="s">
        <v>4924</v>
      </c>
      <c r="G457" s="4611" t="s">
        <v>155</v>
      </c>
      <c r="H457" s="4612">
        <v>2</v>
      </c>
      <c r="I457" s="4613"/>
      <c r="J457" s="5571" t="s">
        <v>11732</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4932</v>
      </c>
    </row>
    <row r="458" spans="2:65" s="2195" customFormat="1">
      <c r="B458" s="2196"/>
      <c r="C458" s="5574"/>
      <c r="D458" s="2197" t="s">
        <v>3303</v>
      </c>
      <c r="E458" s="2198" t="s">
        <v>3146</v>
      </c>
      <c r="F458" s="2199" t="s">
        <v>4933</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4796</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4934</v>
      </c>
      <c r="F460" s="4610" t="s">
        <v>4935</v>
      </c>
      <c r="G460" s="4611" t="s">
        <v>155</v>
      </c>
      <c r="H460" s="4612">
        <v>2</v>
      </c>
      <c r="I460" s="4613"/>
      <c r="J460" s="5571" t="s">
        <v>11732</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4936</v>
      </c>
    </row>
    <row r="461" spans="2:65" s="2195" customFormat="1">
      <c r="B461" s="2196"/>
      <c r="C461" s="5574"/>
      <c r="D461" s="2197" t="s">
        <v>3303</v>
      </c>
      <c r="E461" s="2198" t="s">
        <v>3146</v>
      </c>
      <c r="F461" s="2199" t="s">
        <v>4937</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4796</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4938</v>
      </c>
      <c r="F463" s="4610" t="s">
        <v>4939</v>
      </c>
      <c r="G463" s="4611" t="s">
        <v>155</v>
      </c>
      <c r="H463" s="4612">
        <v>2</v>
      </c>
      <c r="I463" s="4613"/>
      <c r="J463" s="5571" t="s">
        <v>11732</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4940</v>
      </c>
    </row>
    <row r="464" spans="2:65" s="2195" customFormat="1">
      <c r="B464" s="2196"/>
      <c r="C464" s="5574"/>
      <c r="D464" s="2197" t="s">
        <v>3303</v>
      </c>
      <c r="E464" s="2198" t="s">
        <v>3146</v>
      </c>
      <c r="F464" s="2199" t="s">
        <v>4941</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4796</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4942</v>
      </c>
      <c r="F466" s="4610" t="s">
        <v>4944</v>
      </c>
      <c r="G466" s="4611" t="s">
        <v>155</v>
      </c>
      <c r="H466" s="4612">
        <v>2</v>
      </c>
      <c r="I466" s="4613"/>
      <c r="J466" s="5571" t="s">
        <v>11732</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4945</v>
      </c>
    </row>
    <row r="467" spans="2:65" s="2195" customFormat="1">
      <c r="B467" s="2196"/>
      <c r="C467" s="5574"/>
      <c r="D467" s="2197" t="s">
        <v>3303</v>
      </c>
      <c r="E467" s="2198" t="s">
        <v>3146</v>
      </c>
      <c r="F467" s="2199" t="s">
        <v>4946</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4796</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3706</v>
      </c>
      <c r="D469" s="4608" t="s">
        <v>3286</v>
      </c>
      <c r="E469" s="4609" t="s">
        <v>4943</v>
      </c>
      <c r="F469" s="4610" t="s">
        <v>4948</v>
      </c>
      <c r="G469" s="4611" t="s">
        <v>155</v>
      </c>
      <c r="H469" s="4612">
        <v>2</v>
      </c>
      <c r="I469" s="4613"/>
      <c r="J469" s="5571" t="s">
        <v>11732</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4949</v>
      </c>
    </row>
    <row r="470" spans="2:65" s="2195" customFormat="1">
      <c r="B470" s="2196"/>
      <c r="C470" s="5574"/>
      <c r="D470" s="2197" t="s">
        <v>3303</v>
      </c>
      <c r="E470" s="2198" t="s">
        <v>3146</v>
      </c>
      <c r="F470" s="2199" t="s">
        <v>4950</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4796</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3713</v>
      </c>
      <c r="D472" s="4608" t="s">
        <v>3286</v>
      </c>
      <c r="E472" s="4609" t="s">
        <v>4947</v>
      </c>
      <c r="F472" s="4610" t="s">
        <v>4952</v>
      </c>
      <c r="G472" s="4611" t="s">
        <v>155</v>
      </c>
      <c r="H472" s="4612">
        <v>2</v>
      </c>
      <c r="I472" s="4613"/>
      <c r="J472" s="5571" t="s">
        <v>11732</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4953</v>
      </c>
    </row>
    <row r="473" spans="2:65" s="2195" customFormat="1">
      <c r="B473" s="2196"/>
      <c r="C473" s="5574"/>
      <c r="D473" s="2197" t="s">
        <v>3303</v>
      </c>
      <c r="E473" s="2198" t="s">
        <v>3146</v>
      </c>
      <c r="F473" s="2199" t="s">
        <v>4954</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4796</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3718</v>
      </c>
      <c r="D475" s="4608" t="s">
        <v>3286</v>
      </c>
      <c r="E475" s="4609" t="s">
        <v>4951</v>
      </c>
      <c r="F475" s="4610" t="s">
        <v>4955</v>
      </c>
      <c r="G475" s="4611" t="s">
        <v>155</v>
      </c>
      <c r="H475" s="4612">
        <v>2</v>
      </c>
      <c r="I475" s="4613"/>
      <c r="J475" s="5571" t="s">
        <v>11732</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4956</v>
      </c>
    </row>
    <row r="476" spans="2:65" s="2195" customFormat="1">
      <c r="B476" s="2196"/>
      <c r="D476" s="2197" t="s">
        <v>3303</v>
      </c>
      <c r="E476" s="2198" t="s">
        <v>3146</v>
      </c>
      <c r="F476" s="2199" t="s">
        <v>4957</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4796</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4958</v>
      </c>
      <c r="F478" s="2188" t="s">
        <v>4959</v>
      </c>
      <c r="J478" s="2189">
        <f>BK478</f>
        <v>0</v>
      </c>
      <c r="L478" s="2179"/>
      <c r="M478" s="2183"/>
      <c r="P478" s="2184">
        <f>SUM(P479:P488)</f>
        <v>0</v>
      </c>
      <c r="R478" s="2184">
        <f>SUM(R479:R488)</f>
        <v>0</v>
      </c>
      <c r="T478" s="2185">
        <f>SUM(T479:T488)</f>
        <v>0</v>
      </c>
      <c r="AR478" s="2180" t="s">
        <v>856</v>
      </c>
      <c r="AT478" s="2186" t="s">
        <v>3212</v>
      </c>
      <c r="AU478" s="2186" t="s">
        <v>133</v>
      </c>
      <c r="AY478" s="2180" t="s">
        <v>3285</v>
      </c>
      <c r="BK478" s="2187">
        <f>SUM(BK479:BK488)</f>
        <v>0</v>
      </c>
    </row>
    <row r="479" spans="2:65" s="2070" customFormat="1" ht="33" customHeight="1">
      <c r="B479" s="2164"/>
      <c r="C479" s="5561" t="s">
        <v>3726</v>
      </c>
      <c r="D479" s="4608" t="s">
        <v>3286</v>
      </c>
      <c r="E479" s="4609" t="s">
        <v>4960</v>
      </c>
      <c r="F479" s="4610" t="s">
        <v>4961</v>
      </c>
      <c r="G479" s="4611" t="s">
        <v>155</v>
      </c>
      <c r="H479" s="4612">
        <v>2</v>
      </c>
      <c r="I479" s="4613"/>
      <c r="J479" s="5571" t="s">
        <v>11732</v>
      </c>
      <c r="K479" s="4610" t="s">
        <v>3146</v>
      </c>
      <c r="L479" s="2071"/>
      <c r="M479" s="2190" t="s">
        <v>3146</v>
      </c>
      <c r="N479" s="2163" t="s">
        <v>3181</v>
      </c>
      <c r="O479" s="2191">
        <v>0</v>
      </c>
      <c r="P479" s="2191">
        <f t="shared" ref="P479:P488" si="0">O479*H479</f>
        <v>0</v>
      </c>
      <c r="Q479" s="2191">
        <v>0</v>
      </c>
      <c r="R479" s="2191">
        <f t="shared" ref="R479:R488" si="1">Q479*H479</f>
        <v>0</v>
      </c>
      <c r="S479" s="2191">
        <v>0</v>
      </c>
      <c r="T479" s="2192">
        <f t="shared" ref="T479:T488" si="2">S479*H479</f>
        <v>0</v>
      </c>
      <c r="AR479" s="2193" t="s">
        <v>4962</v>
      </c>
      <c r="AT479" s="2193" t="s">
        <v>3286</v>
      </c>
      <c r="AU479" s="2193" t="s">
        <v>134</v>
      </c>
      <c r="AY479" s="2056" t="s">
        <v>3285</v>
      </c>
      <c r="BE479" s="2194">
        <f t="shared" ref="BE479:BE488" si="3">IF(N479="základní",J479,0)</f>
        <v>0</v>
      </c>
      <c r="BF479" s="2194" t="str">
        <f t="shared" ref="BF479:BF488" si="4">IF(N479="snížená",J479,0)</f>
        <v>NEOCEŇOVAT</v>
      </c>
      <c r="BG479" s="2194">
        <f t="shared" ref="BG479:BG488" si="5">IF(N479="zákl. přenesená",J479,0)</f>
        <v>0</v>
      </c>
      <c r="BH479" s="2194">
        <f t="shared" ref="BH479:BH488" si="6">IF(N479="sníž. přenesená",J479,0)</f>
        <v>0</v>
      </c>
      <c r="BI479" s="2194">
        <f t="shared" ref="BI479:BI488" si="7">IF(N479="nulová",J479,0)</f>
        <v>0</v>
      </c>
      <c r="BJ479" s="2056" t="s">
        <v>134</v>
      </c>
      <c r="BK479" s="2194">
        <f t="shared" ref="BK479:BK488" si="8">ROUND(I479*H479,2)</f>
        <v>0</v>
      </c>
      <c r="BL479" s="2056" t="s">
        <v>4962</v>
      </c>
      <c r="BM479" s="2193" t="s">
        <v>4963</v>
      </c>
    </row>
    <row r="480" spans="2:65" s="2070" customFormat="1" ht="16.5" customHeight="1">
      <c r="B480" s="2164"/>
      <c r="C480" s="5561" t="s">
        <v>3731</v>
      </c>
      <c r="D480" s="4608" t="s">
        <v>3286</v>
      </c>
      <c r="E480" s="4609" t="s">
        <v>4964</v>
      </c>
      <c r="F480" s="4610" t="s">
        <v>4965</v>
      </c>
      <c r="G480" s="4611" t="s">
        <v>155</v>
      </c>
      <c r="H480" s="4612">
        <v>1</v>
      </c>
      <c r="I480" s="4613"/>
      <c r="J480" s="5571" t="s">
        <v>11732</v>
      </c>
      <c r="K480" s="4610" t="s">
        <v>3146</v>
      </c>
      <c r="L480" s="2071"/>
      <c r="M480" s="2190" t="s">
        <v>3146</v>
      </c>
      <c r="N480" s="2163" t="s">
        <v>3181</v>
      </c>
      <c r="O480" s="2191">
        <v>0</v>
      </c>
      <c r="P480" s="2191">
        <f t="shared" si="0"/>
        <v>0</v>
      </c>
      <c r="Q480" s="2191">
        <v>0</v>
      </c>
      <c r="R480" s="2191">
        <f t="shared" si="1"/>
        <v>0</v>
      </c>
      <c r="S480" s="2191">
        <v>0</v>
      </c>
      <c r="T480" s="2192">
        <f t="shared" si="2"/>
        <v>0</v>
      </c>
      <c r="AR480" s="2193" t="s">
        <v>4962</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4962</v>
      </c>
      <c r="BM480" s="2193" t="s">
        <v>4966</v>
      </c>
    </row>
    <row r="481" spans="2:65" s="2070" customFormat="1" ht="16.5" customHeight="1">
      <c r="B481" s="2164"/>
      <c r="C481" s="5561" t="s">
        <v>3735</v>
      </c>
      <c r="D481" s="4608" t="s">
        <v>3286</v>
      </c>
      <c r="E481" s="4609" t="s">
        <v>4967</v>
      </c>
      <c r="F481" s="4610" t="s">
        <v>4968</v>
      </c>
      <c r="G481" s="4611" t="s">
        <v>155</v>
      </c>
      <c r="H481" s="4612">
        <v>1</v>
      </c>
      <c r="I481" s="4613"/>
      <c r="J481" s="5571" t="s">
        <v>11732</v>
      </c>
      <c r="K481" s="4610" t="s">
        <v>3146</v>
      </c>
      <c r="L481" s="2071"/>
      <c r="M481" s="2190" t="s">
        <v>3146</v>
      </c>
      <c r="N481" s="2163" t="s">
        <v>3181</v>
      </c>
      <c r="O481" s="2191">
        <v>0</v>
      </c>
      <c r="P481" s="2191">
        <f t="shared" si="0"/>
        <v>0</v>
      </c>
      <c r="Q481" s="2191">
        <v>0</v>
      </c>
      <c r="R481" s="2191">
        <f t="shared" si="1"/>
        <v>0</v>
      </c>
      <c r="S481" s="2191">
        <v>0</v>
      </c>
      <c r="T481" s="2192">
        <f t="shared" si="2"/>
        <v>0</v>
      </c>
      <c r="AR481" s="2193" t="s">
        <v>4962</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4962</v>
      </c>
      <c r="BM481" s="2193" t="s">
        <v>4969</v>
      </c>
    </row>
    <row r="482" spans="2:65" s="2070" customFormat="1" ht="16.5" customHeight="1">
      <c r="B482" s="2164"/>
      <c r="C482" s="5561" t="s">
        <v>3740</v>
      </c>
      <c r="D482" s="4608" t="s">
        <v>3286</v>
      </c>
      <c r="E482" s="4609" t="s">
        <v>4970</v>
      </c>
      <c r="F482" s="4610" t="s">
        <v>4971</v>
      </c>
      <c r="G482" s="4611" t="s">
        <v>155</v>
      </c>
      <c r="H482" s="4612">
        <v>1</v>
      </c>
      <c r="I482" s="4613"/>
      <c r="J482" s="5571" t="s">
        <v>11732</v>
      </c>
      <c r="K482" s="4610" t="s">
        <v>3146</v>
      </c>
      <c r="L482" s="2071"/>
      <c r="M482" s="2190" t="s">
        <v>3146</v>
      </c>
      <c r="N482" s="2163" t="s">
        <v>3181</v>
      </c>
      <c r="O482" s="2191">
        <v>0</v>
      </c>
      <c r="P482" s="2191">
        <f t="shared" si="0"/>
        <v>0</v>
      </c>
      <c r="Q482" s="2191">
        <v>0</v>
      </c>
      <c r="R482" s="2191">
        <f t="shared" si="1"/>
        <v>0</v>
      </c>
      <c r="S482" s="2191">
        <v>0</v>
      </c>
      <c r="T482" s="2192">
        <f t="shared" si="2"/>
        <v>0</v>
      </c>
      <c r="AR482" s="2193" t="s">
        <v>4962</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4962</v>
      </c>
      <c r="BM482" s="2193" t="s">
        <v>4972</v>
      </c>
    </row>
    <row r="483" spans="2:65" s="2070" customFormat="1" ht="21.75" customHeight="1">
      <c r="B483" s="2164"/>
      <c r="C483" s="5561" t="s">
        <v>3743</v>
      </c>
      <c r="D483" s="4608" t="s">
        <v>3286</v>
      </c>
      <c r="E483" s="4609" t="s">
        <v>4973</v>
      </c>
      <c r="F483" s="4610" t="s">
        <v>4974</v>
      </c>
      <c r="G483" s="4611" t="s">
        <v>155</v>
      </c>
      <c r="H483" s="4612">
        <v>3</v>
      </c>
      <c r="I483" s="4613"/>
      <c r="J483" s="5571" t="s">
        <v>11732</v>
      </c>
      <c r="K483" s="4610" t="s">
        <v>3146</v>
      </c>
      <c r="L483" s="2071"/>
      <c r="M483" s="2190" t="s">
        <v>3146</v>
      </c>
      <c r="N483" s="2163" t="s">
        <v>3181</v>
      </c>
      <c r="O483" s="2191">
        <v>0</v>
      </c>
      <c r="P483" s="2191">
        <f t="shared" si="0"/>
        <v>0</v>
      </c>
      <c r="Q483" s="2191">
        <v>0</v>
      </c>
      <c r="R483" s="2191">
        <f t="shared" si="1"/>
        <v>0</v>
      </c>
      <c r="S483" s="2191">
        <v>0</v>
      </c>
      <c r="T483" s="2192">
        <f t="shared" si="2"/>
        <v>0</v>
      </c>
      <c r="AR483" s="2193" t="s">
        <v>4962</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4962</v>
      </c>
      <c r="BM483" s="2193" t="s">
        <v>4975</v>
      </c>
    </row>
    <row r="484" spans="2:65" s="2070" customFormat="1" ht="16.5" customHeight="1">
      <c r="B484" s="2164"/>
      <c r="C484" s="5660" t="s">
        <v>3749</v>
      </c>
      <c r="D484" s="4608" t="s">
        <v>3286</v>
      </c>
      <c r="E484" s="4609" t="s">
        <v>4976</v>
      </c>
      <c r="F484" s="4610" t="s">
        <v>4977</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4962</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4962</v>
      </c>
      <c r="BM484" s="2193" t="s">
        <v>4978</v>
      </c>
    </row>
    <row r="485" spans="2:65" s="2070" customFormat="1" ht="101.25">
      <c r="B485" s="2164"/>
      <c r="C485" s="4608"/>
      <c r="D485" s="4608"/>
      <c r="E485" s="4609"/>
      <c r="F485" s="5560" t="s">
        <v>11762</v>
      </c>
      <c r="G485" s="4611"/>
      <c r="H485" s="4612"/>
      <c r="I485" s="4613"/>
      <c r="J485" s="4613"/>
      <c r="K485" s="4610"/>
      <c r="L485" s="2071"/>
      <c r="M485" s="2190"/>
      <c r="N485" s="2163"/>
      <c r="O485" s="2191"/>
      <c r="P485" s="2191"/>
      <c r="Q485" s="2191"/>
      <c r="R485" s="2191"/>
      <c r="S485" s="2191"/>
      <c r="T485" s="2192"/>
      <c r="AR485" s="2193"/>
      <c r="AT485" s="2193"/>
      <c r="AU485" s="2193"/>
      <c r="AY485" s="2056"/>
      <c r="BE485" s="2194"/>
      <c r="BF485" s="2194"/>
      <c r="BG485" s="2194"/>
      <c r="BH485" s="2194"/>
      <c r="BI485" s="2194"/>
      <c r="BJ485" s="2056"/>
      <c r="BK485" s="2194"/>
      <c r="BL485" s="2056"/>
      <c r="BM485" s="2193"/>
    </row>
    <row r="486" spans="2:65" s="2070" customFormat="1" ht="22.5">
      <c r="B486" s="2164"/>
      <c r="C486" s="4608"/>
      <c r="D486" s="4608"/>
      <c r="E486" s="4609"/>
      <c r="F486" s="5661" t="s">
        <v>11761</v>
      </c>
      <c r="G486" s="4611"/>
      <c r="H486" s="4612"/>
      <c r="I486" s="4613"/>
      <c r="J486" s="4613"/>
      <c r="K486" s="4610"/>
      <c r="L486" s="2071"/>
      <c r="M486" s="2190"/>
      <c r="N486" s="2163"/>
      <c r="O486" s="2191"/>
      <c r="P486" s="2191"/>
      <c r="Q486" s="2191"/>
      <c r="R486" s="2191"/>
      <c r="S486" s="2191"/>
      <c r="T486" s="2192"/>
      <c r="AR486" s="2193"/>
      <c r="AT486" s="2193"/>
      <c r="AU486" s="2193"/>
      <c r="AY486" s="2056"/>
      <c r="BE486" s="2194"/>
      <c r="BF486" s="2194"/>
      <c r="BG486" s="2194"/>
      <c r="BH486" s="2194"/>
      <c r="BI486" s="2194"/>
      <c r="BJ486" s="2056"/>
      <c r="BK486" s="2194"/>
      <c r="BL486" s="2056"/>
      <c r="BM486" s="2193"/>
    </row>
    <row r="487" spans="2:65" s="2070" customFormat="1" ht="16.5" customHeight="1">
      <c r="B487" s="2164"/>
      <c r="C487" s="5561" t="s">
        <v>3754</v>
      </c>
      <c r="D487" s="4608" t="s">
        <v>3286</v>
      </c>
      <c r="E487" s="4609" t="s">
        <v>4979</v>
      </c>
      <c r="F487" s="4610" t="s">
        <v>4980</v>
      </c>
      <c r="G487" s="4611" t="s">
        <v>155</v>
      </c>
      <c r="H487" s="4612">
        <v>20</v>
      </c>
      <c r="I487" s="4613"/>
      <c r="J487" s="5571" t="s">
        <v>11732</v>
      </c>
      <c r="K487" s="4610" t="s">
        <v>3146</v>
      </c>
      <c r="L487" s="2071"/>
      <c r="M487" s="2190" t="s">
        <v>3146</v>
      </c>
      <c r="N487" s="2163" t="s">
        <v>3181</v>
      </c>
      <c r="O487" s="2191">
        <v>0</v>
      </c>
      <c r="P487" s="2191">
        <f t="shared" si="0"/>
        <v>0</v>
      </c>
      <c r="Q487" s="2191">
        <v>0</v>
      </c>
      <c r="R487" s="2191">
        <f t="shared" si="1"/>
        <v>0</v>
      </c>
      <c r="S487" s="2191">
        <v>0</v>
      </c>
      <c r="T487" s="2192">
        <f t="shared" si="2"/>
        <v>0</v>
      </c>
      <c r="AR487" s="2193" t="s">
        <v>4962</v>
      </c>
      <c r="AT487" s="2193" t="s">
        <v>3286</v>
      </c>
      <c r="AU487" s="2193" t="s">
        <v>134</v>
      </c>
      <c r="AY487" s="2056" t="s">
        <v>3285</v>
      </c>
      <c r="BE487" s="2194">
        <f t="shared" si="3"/>
        <v>0</v>
      </c>
      <c r="BF487" s="2194" t="str">
        <f t="shared" si="4"/>
        <v>NEOCEŇOVAT</v>
      </c>
      <c r="BG487" s="2194">
        <f t="shared" si="5"/>
        <v>0</v>
      </c>
      <c r="BH487" s="2194">
        <f t="shared" si="6"/>
        <v>0</v>
      </c>
      <c r="BI487" s="2194">
        <f t="shared" si="7"/>
        <v>0</v>
      </c>
      <c r="BJ487" s="2056" t="s">
        <v>134</v>
      </c>
      <c r="BK487" s="2194">
        <f t="shared" si="8"/>
        <v>0</v>
      </c>
      <c r="BL487" s="2056" t="s">
        <v>4962</v>
      </c>
      <c r="BM487" s="2193" t="s">
        <v>4981</v>
      </c>
    </row>
    <row r="488" spans="2:65" s="2070" customFormat="1" ht="33" customHeight="1">
      <c r="B488" s="2164"/>
      <c r="C488" s="4608" t="s">
        <v>3759</v>
      </c>
      <c r="D488" s="4608" t="s">
        <v>3286</v>
      </c>
      <c r="E488" s="4609" t="s">
        <v>4982</v>
      </c>
      <c r="F488" s="4610" t="s">
        <v>4983</v>
      </c>
      <c r="G488" s="4611" t="s">
        <v>3795</v>
      </c>
      <c r="H488" s="4612">
        <v>2</v>
      </c>
      <c r="I488" s="4613"/>
      <c r="J488" s="4613">
        <f t="shared" ref="J488" si="10">ROUND(I488*H488,2)</f>
        <v>0</v>
      </c>
      <c r="K488" s="4610" t="s">
        <v>3146</v>
      </c>
      <c r="L488" s="2071"/>
      <c r="M488" s="2190" t="s">
        <v>3146</v>
      </c>
      <c r="N488" s="2163" t="s">
        <v>3181</v>
      </c>
      <c r="O488" s="2191">
        <v>0</v>
      </c>
      <c r="P488" s="2191">
        <f t="shared" si="0"/>
        <v>0</v>
      </c>
      <c r="Q488" s="2191">
        <v>0</v>
      </c>
      <c r="R488" s="2191">
        <f t="shared" si="1"/>
        <v>0</v>
      </c>
      <c r="S488" s="2191">
        <v>0</v>
      </c>
      <c r="T488" s="2192">
        <f t="shared" si="2"/>
        <v>0</v>
      </c>
      <c r="AR488" s="2193" t="s">
        <v>4962</v>
      </c>
      <c r="AT488" s="2193" t="s">
        <v>3286</v>
      </c>
      <c r="AU488" s="2193" t="s">
        <v>134</v>
      </c>
      <c r="AY488" s="2056" t="s">
        <v>3285</v>
      </c>
      <c r="BE488" s="2194">
        <f t="shared" si="3"/>
        <v>0</v>
      </c>
      <c r="BF488" s="2194">
        <f t="shared" si="4"/>
        <v>0</v>
      </c>
      <c r="BG488" s="2194">
        <f t="shared" si="5"/>
        <v>0</v>
      </c>
      <c r="BH488" s="2194">
        <f t="shared" si="6"/>
        <v>0</v>
      </c>
      <c r="BI488" s="2194">
        <f t="shared" si="7"/>
        <v>0</v>
      </c>
      <c r="BJ488" s="2056" t="s">
        <v>134</v>
      </c>
      <c r="BK488" s="2194">
        <f t="shared" si="8"/>
        <v>0</v>
      </c>
      <c r="BL488" s="2056" t="s">
        <v>4962</v>
      </c>
      <c r="BM488" s="2193" t="s">
        <v>4984</v>
      </c>
    </row>
    <row r="489" spans="2:65" s="2178" customFormat="1" ht="22.9" customHeight="1">
      <c r="B489" s="2179"/>
      <c r="D489" s="2180" t="s">
        <v>3212</v>
      </c>
      <c r="E489" s="2188" t="s">
        <v>4985</v>
      </c>
      <c r="F489" s="2188" t="s">
        <v>4986</v>
      </c>
      <c r="J489" s="2189">
        <f>BK489</f>
        <v>0</v>
      </c>
      <c r="L489" s="2179"/>
      <c r="M489" s="2183"/>
      <c r="P489" s="2184">
        <f>SUM(P490:P500)</f>
        <v>44.199999999999996</v>
      </c>
      <c r="R489" s="2184">
        <f>SUM(R490:R500)</f>
        <v>1.1999999999999999E-3</v>
      </c>
      <c r="T489" s="2185">
        <f>SUM(T490:T500)</f>
        <v>0</v>
      </c>
      <c r="AR489" s="2180" t="s">
        <v>134</v>
      </c>
      <c r="AT489" s="2186" t="s">
        <v>3212</v>
      </c>
      <c r="AU489" s="2186" t="s">
        <v>133</v>
      </c>
      <c r="AY489" s="2180" t="s">
        <v>3285</v>
      </c>
      <c r="BK489" s="2187">
        <f>SUM(BK490:BK500)</f>
        <v>0</v>
      </c>
    </row>
    <row r="490" spans="2:65" s="2070" customFormat="1" ht="24.2" customHeight="1">
      <c r="B490" s="2164"/>
      <c r="C490" s="5561" t="s">
        <v>3763</v>
      </c>
      <c r="D490" s="4608" t="s">
        <v>3286</v>
      </c>
      <c r="E490" s="4609" t="s">
        <v>4987</v>
      </c>
      <c r="F490" s="4610" t="s">
        <v>4988</v>
      </c>
      <c r="G490" s="4611" t="s">
        <v>155</v>
      </c>
      <c r="H490" s="4612">
        <v>13</v>
      </c>
      <c r="I490" s="5876" t="s">
        <v>11555</v>
      </c>
      <c r="J490" s="5877"/>
      <c r="K490" s="4610" t="s">
        <v>142</v>
      </c>
      <c r="L490" s="2071"/>
      <c r="M490" s="2190" t="s">
        <v>3146</v>
      </c>
      <c r="N490" s="2163" t="s">
        <v>3181</v>
      </c>
      <c r="O490" s="2191">
        <v>3.4</v>
      </c>
      <c r="P490" s="2191">
        <f>O490*H490</f>
        <v>44.199999999999996</v>
      </c>
      <c r="Q490" s="2191">
        <v>0</v>
      </c>
      <c r="R490" s="2191">
        <f>Q490*H490</f>
        <v>0</v>
      </c>
      <c r="S490" s="2191">
        <v>0</v>
      </c>
      <c r="T490" s="2192">
        <f>S490*H490</f>
        <v>0</v>
      </c>
      <c r="AR490" s="2193" t="s">
        <v>2894</v>
      </c>
      <c r="AT490" s="2193" t="s">
        <v>3286</v>
      </c>
      <c r="AU490" s="2193" t="s">
        <v>134</v>
      </c>
      <c r="AY490" s="2056" t="s">
        <v>3285</v>
      </c>
      <c r="BE490" s="2194">
        <f>IF(N490="základní",J490,0)</f>
        <v>0</v>
      </c>
      <c r="BF490" s="2194">
        <f>IF(N490="snížená",J490,0)</f>
        <v>0</v>
      </c>
      <c r="BG490" s="2194">
        <f>IF(N490="zákl. přenesená",J490,0)</f>
        <v>0</v>
      </c>
      <c r="BH490" s="2194">
        <f>IF(N490="sníž. přenesená",J490,0)</f>
        <v>0</v>
      </c>
      <c r="BI490" s="2194">
        <f>IF(N490="nulová",J490,0)</f>
        <v>0</v>
      </c>
      <c r="BJ490" s="2056" t="s">
        <v>134</v>
      </c>
      <c r="BK490" s="2194">
        <v>0</v>
      </c>
      <c r="BL490" s="2056" t="s">
        <v>2894</v>
      </c>
      <c r="BM490" s="2193" t="s">
        <v>4989</v>
      </c>
    </row>
    <row r="491" spans="2:65" s="2209" customFormat="1">
      <c r="B491" s="2210"/>
      <c r="D491" s="2197" t="s">
        <v>3303</v>
      </c>
      <c r="E491" s="2211" t="s">
        <v>3146</v>
      </c>
      <c r="F491" s="2212" t="s">
        <v>4990</v>
      </c>
      <c r="H491" s="2213">
        <v>6</v>
      </c>
      <c r="L491" s="2210"/>
      <c r="M491" s="2214"/>
      <c r="T491" s="2215"/>
      <c r="AT491" s="2211" t="s">
        <v>3303</v>
      </c>
      <c r="AU491" s="2211" t="s">
        <v>134</v>
      </c>
      <c r="AV491" s="2209" t="s">
        <v>134</v>
      </c>
      <c r="AW491" s="2209" t="s">
        <v>3171</v>
      </c>
      <c r="AX491" s="2209" t="s">
        <v>3213</v>
      </c>
      <c r="AY491" s="2211" t="s">
        <v>3285</v>
      </c>
    </row>
    <row r="492" spans="2:65" s="2209" customFormat="1">
      <c r="B492" s="2210"/>
      <c r="D492" s="2197" t="s">
        <v>3303</v>
      </c>
      <c r="E492" s="2211" t="s">
        <v>3146</v>
      </c>
      <c r="F492" s="2212" t="s">
        <v>4796</v>
      </c>
      <c r="H492" s="2213">
        <v>2</v>
      </c>
      <c r="L492" s="2210"/>
      <c r="M492" s="2214"/>
      <c r="T492" s="2215"/>
      <c r="AT492" s="2211" t="s">
        <v>3303</v>
      </c>
      <c r="AU492" s="2211" t="s">
        <v>134</v>
      </c>
      <c r="AV492" s="2209" t="s">
        <v>134</v>
      </c>
      <c r="AW492" s="2209" t="s">
        <v>3171</v>
      </c>
      <c r="AX492" s="2209" t="s">
        <v>3213</v>
      </c>
      <c r="AY492" s="2211" t="s">
        <v>3285</v>
      </c>
    </row>
    <row r="493" spans="2:65" s="2209" customFormat="1">
      <c r="B493" s="2210"/>
      <c r="D493" s="2197" t="s">
        <v>3303</v>
      </c>
      <c r="E493" s="2211" t="s">
        <v>3146</v>
      </c>
      <c r="F493" s="2212" t="s">
        <v>4991</v>
      </c>
      <c r="H493" s="2213">
        <v>5</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13</v>
      </c>
      <c r="L494" s="2217"/>
      <c r="M494" s="2221"/>
      <c r="T494" s="2222"/>
      <c r="AT494" s="2218" t="s">
        <v>3303</v>
      </c>
      <c r="AU494" s="2218" t="s">
        <v>134</v>
      </c>
      <c r="AV494" s="2216" t="s">
        <v>856</v>
      </c>
      <c r="AW494" s="2216" t="s">
        <v>3171</v>
      </c>
      <c r="AX494" s="2216" t="s">
        <v>133</v>
      </c>
      <c r="AY494" s="2218" t="s">
        <v>3285</v>
      </c>
    </row>
    <row r="495" spans="2:65" s="2070" customFormat="1" ht="24.2" customHeight="1">
      <c r="B495" s="2164"/>
      <c r="C495" s="5609" t="s">
        <v>3769</v>
      </c>
      <c r="D495" s="4614" t="s">
        <v>135</v>
      </c>
      <c r="E495" s="4615" t="s">
        <v>4992</v>
      </c>
      <c r="F495" s="4616" t="s">
        <v>4993</v>
      </c>
      <c r="G495" s="4617" t="s">
        <v>155</v>
      </c>
      <c r="H495" s="4618">
        <v>8</v>
      </c>
      <c r="I495" s="5876" t="s">
        <v>11555</v>
      </c>
      <c r="J495" s="5877"/>
      <c r="K495" s="4616" t="s">
        <v>142</v>
      </c>
      <c r="L495" s="2223"/>
      <c r="M495" s="2224" t="s">
        <v>3146</v>
      </c>
      <c r="N495" s="2225" t="s">
        <v>3181</v>
      </c>
      <c r="O495" s="2191">
        <v>0</v>
      </c>
      <c r="P495" s="2191">
        <f>O495*H495</f>
        <v>0</v>
      </c>
      <c r="Q495" s="2191">
        <v>1.4999999999999999E-4</v>
      </c>
      <c r="R495" s="2191">
        <f>Q495*H495</f>
        <v>1.1999999999999999E-3</v>
      </c>
      <c r="S495" s="2191">
        <v>0</v>
      </c>
      <c r="T495" s="2192">
        <f>S495*H495</f>
        <v>0</v>
      </c>
      <c r="AR495" s="2193" t="s">
        <v>3389</v>
      </c>
      <c r="AT495" s="2193" t="s">
        <v>135</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v>0</v>
      </c>
      <c r="BL495" s="2056" t="s">
        <v>2894</v>
      </c>
      <c r="BM495" s="2193" t="s">
        <v>4994</v>
      </c>
    </row>
    <row r="496" spans="2:65" s="2070" customFormat="1" ht="24.2" customHeight="1">
      <c r="B496" s="2164"/>
      <c r="C496" s="5609" t="s">
        <v>3773</v>
      </c>
      <c r="D496" s="4614" t="s">
        <v>135</v>
      </c>
      <c r="E496" s="4615" t="s">
        <v>4995</v>
      </c>
      <c r="F496" s="4616" t="s">
        <v>4996</v>
      </c>
      <c r="G496" s="4617" t="s">
        <v>155</v>
      </c>
      <c r="H496" s="4618">
        <v>13</v>
      </c>
      <c r="I496" s="5876" t="s">
        <v>11555</v>
      </c>
      <c r="J496" s="5877"/>
      <c r="K496" s="4616" t="s">
        <v>3146</v>
      </c>
      <c r="L496" s="2223"/>
      <c r="M496" s="2224" t="s">
        <v>3146</v>
      </c>
      <c r="N496" s="2225" t="s">
        <v>3181</v>
      </c>
      <c r="O496" s="2191">
        <v>0</v>
      </c>
      <c r="P496" s="2191">
        <f>O496*H496</f>
        <v>0</v>
      </c>
      <c r="Q496" s="2191">
        <v>0</v>
      </c>
      <c r="R496" s="2191">
        <f>Q496*H496</f>
        <v>0</v>
      </c>
      <c r="S496" s="2191">
        <v>0</v>
      </c>
      <c r="T496" s="2192">
        <f>S496*H496</f>
        <v>0</v>
      </c>
      <c r="AR496" s="2193" t="s">
        <v>3389</v>
      </c>
      <c r="AT496" s="2193" t="s">
        <v>135</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v>0</v>
      </c>
      <c r="BL496" s="2056" t="s">
        <v>2894</v>
      </c>
      <c r="BM496" s="2193" t="s">
        <v>4997</v>
      </c>
    </row>
    <row r="497" spans="2:65" s="2209" customFormat="1">
      <c r="B497" s="2210"/>
      <c r="D497" s="2197" t="s">
        <v>3303</v>
      </c>
      <c r="E497" s="2211" t="s">
        <v>3146</v>
      </c>
      <c r="F497" s="2212" t="s">
        <v>4990</v>
      </c>
      <c r="H497" s="2213">
        <v>6</v>
      </c>
      <c r="L497" s="2210"/>
      <c r="M497" s="2214"/>
      <c r="T497" s="2215"/>
      <c r="AT497" s="2211" t="s">
        <v>3303</v>
      </c>
      <c r="AU497" s="2211" t="s">
        <v>134</v>
      </c>
      <c r="AV497" s="2209" t="s">
        <v>134</v>
      </c>
      <c r="AW497" s="2209" t="s">
        <v>3171</v>
      </c>
      <c r="AX497" s="2209" t="s">
        <v>3213</v>
      </c>
      <c r="AY497" s="2211" t="s">
        <v>3285</v>
      </c>
    </row>
    <row r="498" spans="2:65" s="2209" customFormat="1">
      <c r="B498" s="2210"/>
      <c r="D498" s="2197" t="s">
        <v>3303</v>
      </c>
      <c r="E498" s="2211" t="s">
        <v>3146</v>
      </c>
      <c r="F498" s="2212" t="s">
        <v>4796</v>
      </c>
      <c r="H498" s="2213">
        <v>2</v>
      </c>
      <c r="L498" s="2210"/>
      <c r="M498" s="2214"/>
      <c r="T498" s="2215"/>
      <c r="AT498" s="2211" t="s">
        <v>3303</v>
      </c>
      <c r="AU498" s="2211" t="s">
        <v>134</v>
      </c>
      <c r="AV498" s="2209" t="s">
        <v>134</v>
      </c>
      <c r="AW498" s="2209" t="s">
        <v>3171</v>
      </c>
      <c r="AX498" s="2209" t="s">
        <v>3213</v>
      </c>
      <c r="AY498" s="2211" t="s">
        <v>3285</v>
      </c>
    </row>
    <row r="499" spans="2:65" s="2209" customFormat="1">
      <c r="B499" s="2210"/>
      <c r="D499" s="2197" t="s">
        <v>3303</v>
      </c>
      <c r="E499" s="2211" t="s">
        <v>3146</v>
      </c>
      <c r="F499" s="2212" t="s">
        <v>4991</v>
      </c>
      <c r="H499" s="2213">
        <v>5</v>
      </c>
      <c r="L499" s="2210"/>
      <c r="M499" s="2214"/>
      <c r="T499" s="2215"/>
      <c r="AT499" s="2211" t="s">
        <v>3303</v>
      </c>
      <c r="AU499" s="2211" t="s">
        <v>134</v>
      </c>
      <c r="AV499" s="2209" t="s">
        <v>134</v>
      </c>
      <c r="AW499" s="2209" t="s">
        <v>3171</v>
      </c>
      <c r="AX499" s="2209" t="s">
        <v>3213</v>
      </c>
      <c r="AY499" s="2211" t="s">
        <v>3285</v>
      </c>
    </row>
    <row r="500" spans="2:65" s="2216" customFormat="1">
      <c r="B500" s="2217"/>
      <c r="D500" s="2197" t="s">
        <v>3303</v>
      </c>
      <c r="E500" s="2218" t="s">
        <v>3146</v>
      </c>
      <c r="F500" s="2219" t="s">
        <v>3306</v>
      </c>
      <c r="H500" s="2220">
        <v>13</v>
      </c>
      <c r="L500" s="2217"/>
      <c r="M500" s="2221"/>
      <c r="T500" s="2222"/>
      <c r="AT500" s="2218" t="s">
        <v>3303</v>
      </c>
      <c r="AU500" s="2218" t="s">
        <v>134</v>
      </c>
      <c r="AV500" s="2216" t="s">
        <v>856</v>
      </c>
      <c r="AW500" s="2216" t="s">
        <v>3171</v>
      </c>
      <c r="AX500" s="2216" t="s">
        <v>133</v>
      </c>
      <c r="AY500" s="2218" t="s">
        <v>3285</v>
      </c>
    </row>
    <row r="501" spans="2:65" s="2178" customFormat="1" ht="22.9" customHeight="1">
      <c r="B501" s="2179"/>
      <c r="D501" s="2180" t="s">
        <v>3212</v>
      </c>
      <c r="E501" s="2188" t="s">
        <v>4998</v>
      </c>
      <c r="F501" s="2188" t="s">
        <v>4999</v>
      </c>
      <c r="J501" s="2189">
        <f>BK501</f>
        <v>0</v>
      </c>
      <c r="L501" s="2179"/>
      <c r="M501" s="2183"/>
      <c r="P501" s="2184">
        <f>SUM(P502:P510)</f>
        <v>127.36185600000002</v>
      </c>
      <c r="R501" s="2184">
        <f>SUM(R502:R510)</f>
        <v>4.1432481000000001</v>
      </c>
      <c r="T501" s="2185">
        <f>SUM(T502:T510)</f>
        <v>0</v>
      </c>
      <c r="AR501" s="2180" t="s">
        <v>134</v>
      </c>
      <c r="AT501" s="2186" t="s">
        <v>3212</v>
      </c>
      <c r="AU501" s="2186" t="s">
        <v>133</v>
      </c>
      <c r="AY501" s="2180" t="s">
        <v>3285</v>
      </c>
      <c r="BK501" s="2187">
        <f>SUM(BK502:BK510)</f>
        <v>0</v>
      </c>
    </row>
    <row r="502" spans="2:65" s="2070" customFormat="1" ht="33" customHeight="1">
      <c r="B502" s="2164"/>
      <c r="C502" s="4608" t="s">
        <v>3778</v>
      </c>
      <c r="D502" s="4608" t="s">
        <v>3286</v>
      </c>
      <c r="E502" s="4609" t="s">
        <v>5000</v>
      </c>
      <c r="F502" s="4610" t="s">
        <v>5001</v>
      </c>
      <c r="G502" s="4611" t="s">
        <v>611</v>
      </c>
      <c r="H502" s="4612">
        <v>149.14500000000001</v>
      </c>
      <c r="I502" s="4613"/>
      <c r="J502" s="4613">
        <f>ROUND(I502*H502,2)</f>
        <v>0</v>
      </c>
      <c r="K502" s="4610" t="s">
        <v>142</v>
      </c>
      <c r="L502" s="2071"/>
      <c r="M502" s="2190" t="s">
        <v>3146</v>
      </c>
      <c r="N502" s="2163" t="s">
        <v>3181</v>
      </c>
      <c r="O502" s="2191">
        <v>0.75</v>
      </c>
      <c r="P502" s="2191">
        <f>O502*H502</f>
        <v>111.85875000000001</v>
      </c>
      <c r="Q502" s="2191">
        <v>2.7779999999999999E-2</v>
      </c>
      <c r="R502" s="2191">
        <f>Q502*H502</f>
        <v>4.1432481000000001</v>
      </c>
      <c r="S502" s="2191">
        <v>0</v>
      </c>
      <c r="T502" s="2192">
        <f>S502*H502</f>
        <v>0</v>
      </c>
      <c r="AR502" s="2193" t="s">
        <v>2894</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2894</v>
      </c>
      <c r="BM502" s="2193" t="s">
        <v>5002</v>
      </c>
    </row>
    <row r="503" spans="2:65" s="2209" customFormat="1">
      <c r="B503" s="2210"/>
      <c r="D503" s="2197" t="s">
        <v>3303</v>
      </c>
      <c r="E503" s="2211" t="s">
        <v>3146</v>
      </c>
      <c r="F503" s="2212" t="s">
        <v>4720</v>
      </c>
      <c r="H503" s="2213">
        <v>115.73</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4721</v>
      </c>
      <c r="H504" s="2213">
        <v>4.95</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4722</v>
      </c>
      <c r="H505" s="2213">
        <v>23.625</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4723</v>
      </c>
      <c r="H506" s="2213">
        <v>3.96</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5003</v>
      </c>
      <c r="H507" s="2213">
        <v>0.88</v>
      </c>
      <c r="L507" s="2210"/>
      <c r="M507" s="2214"/>
      <c r="T507" s="2215"/>
      <c r="AT507" s="2211" t="s">
        <v>3303</v>
      </c>
      <c r="AU507" s="2211" t="s">
        <v>134</v>
      </c>
      <c r="AV507" s="2209" t="s">
        <v>134</v>
      </c>
      <c r="AW507" s="2209" t="s">
        <v>3171</v>
      </c>
      <c r="AX507" s="2209" t="s">
        <v>3213</v>
      </c>
      <c r="AY507" s="2211" t="s">
        <v>3285</v>
      </c>
    </row>
    <row r="508" spans="2:65" s="2216" customFormat="1">
      <c r="B508" s="2217"/>
      <c r="D508" s="2197" t="s">
        <v>3303</v>
      </c>
      <c r="E508" s="2218" t="s">
        <v>3146</v>
      </c>
      <c r="F508" s="2219" t="s">
        <v>3306</v>
      </c>
      <c r="H508" s="2220">
        <v>149.14500000000001</v>
      </c>
      <c r="L508" s="2217"/>
      <c r="M508" s="2221"/>
      <c r="T508" s="2222"/>
      <c r="AT508" s="2218" t="s">
        <v>3303</v>
      </c>
      <c r="AU508" s="2218" t="s">
        <v>134</v>
      </c>
      <c r="AV508" s="2216" t="s">
        <v>856</v>
      </c>
      <c r="AW508" s="2216" t="s">
        <v>3171</v>
      </c>
      <c r="AX508" s="2216" t="s">
        <v>133</v>
      </c>
      <c r="AY508" s="2218" t="s">
        <v>3285</v>
      </c>
    </row>
    <row r="509" spans="2:65" s="2070" customFormat="1" ht="24.2" customHeight="1">
      <c r="B509" s="2164"/>
      <c r="C509" s="4608" t="s">
        <v>3779</v>
      </c>
      <c r="D509" s="4608" t="s">
        <v>3286</v>
      </c>
      <c r="E509" s="4609" t="s">
        <v>11102</v>
      </c>
      <c r="F509" s="4610" t="s">
        <v>11103</v>
      </c>
      <c r="G509" s="4611" t="s">
        <v>302</v>
      </c>
      <c r="H509" s="4612">
        <v>4.1429999999999998</v>
      </c>
      <c r="I509" s="4613"/>
      <c r="J509" s="4613">
        <f>ROUND(I509*H509,2)</f>
        <v>0</v>
      </c>
      <c r="K509" s="4610" t="s">
        <v>142</v>
      </c>
      <c r="L509" s="2071"/>
      <c r="M509" s="2190" t="s">
        <v>3146</v>
      </c>
      <c r="N509" s="2163" t="s">
        <v>3181</v>
      </c>
      <c r="O509" s="2191">
        <v>2.1720000000000002</v>
      </c>
      <c r="P509" s="2191">
        <f>O509*H509</f>
        <v>8.9985960000000009</v>
      </c>
      <c r="Q509" s="2191">
        <v>0</v>
      </c>
      <c r="R509" s="2191">
        <f>Q509*H509</f>
        <v>0</v>
      </c>
      <c r="S509" s="2191">
        <v>0</v>
      </c>
      <c r="T509" s="2192">
        <f>S509*H509</f>
        <v>0</v>
      </c>
      <c r="AR509" s="2193" t="s">
        <v>2894</v>
      </c>
      <c r="AT509" s="2193" t="s">
        <v>3286</v>
      </c>
      <c r="AU509" s="2193" t="s">
        <v>134</v>
      </c>
      <c r="AY509" s="2056" t="s">
        <v>3285</v>
      </c>
      <c r="BE509" s="2194">
        <f>IF(N509="základní",J509,0)</f>
        <v>0</v>
      </c>
      <c r="BF509" s="2194">
        <f>IF(N509="snížená",J509,0)</f>
        <v>0</v>
      </c>
      <c r="BG509" s="2194">
        <f>IF(N509="zákl. přenesená",J509,0)</f>
        <v>0</v>
      </c>
      <c r="BH509" s="2194">
        <f>IF(N509="sníž. přenesená",J509,0)</f>
        <v>0</v>
      </c>
      <c r="BI509" s="2194">
        <f>IF(N509="nulová",J509,0)</f>
        <v>0</v>
      </c>
      <c r="BJ509" s="2056" t="s">
        <v>134</v>
      </c>
      <c r="BK509" s="2194">
        <f>ROUND(I509*H509,2)</f>
        <v>0</v>
      </c>
      <c r="BL509" s="2056" t="s">
        <v>2894</v>
      </c>
      <c r="BM509" s="2193" t="s">
        <v>11104</v>
      </c>
    </row>
    <row r="510" spans="2:65" s="2070" customFormat="1" ht="24.2" customHeight="1">
      <c r="B510" s="2164"/>
      <c r="C510" s="4608" t="s">
        <v>3780</v>
      </c>
      <c r="D510" s="4608" t="s">
        <v>3286</v>
      </c>
      <c r="E510" s="4609" t="s">
        <v>11105</v>
      </c>
      <c r="F510" s="4610" t="s">
        <v>11106</v>
      </c>
      <c r="G510" s="4611" t="s">
        <v>302</v>
      </c>
      <c r="H510" s="4612">
        <v>4.1429999999999998</v>
      </c>
      <c r="I510" s="4613"/>
      <c r="J510" s="4613">
        <f>ROUND(I510*H510,2)</f>
        <v>0</v>
      </c>
      <c r="K510" s="4610" t="s">
        <v>142</v>
      </c>
      <c r="L510" s="2071"/>
      <c r="M510" s="2190" t="s">
        <v>3146</v>
      </c>
      <c r="N510" s="2163" t="s">
        <v>3181</v>
      </c>
      <c r="O510" s="2191">
        <v>1.57</v>
      </c>
      <c r="P510" s="2191">
        <f>O510*H510</f>
        <v>6.5045099999999998</v>
      </c>
      <c r="Q510" s="2191">
        <v>0</v>
      </c>
      <c r="R510" s="2191">
        <f>Q510*H510</f>
        <v>0</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11107</v>
      </c>
    </row>
    <row r="511" spans="2:65" s="2178" customFormat="1" ht="22.9" customHeight="1">
      <c r="B511" s="2179"/>
      <c r="D511" s="2180" t="s">
        <v>3212</v>
      </c>
      <c r="E511" s="2188" t="s">
        <v>5004</v>
      </c>
      <c r="F511" s="2188" t="s">
        <v>5005</v>
      </c>
      <c r="J511" s="2189">
        <f>BK511</f>
        <v>0</v>
      </c>
      <c r="L511" s="2179"/>
      <c r="M511" s="2183"/>
      <c r="P511" s="2184">
        <f>SUM(P512:P555)</f>
        <v>587.33004599999992</v>
      </c>
      <c r="R511" s="2184">
        <f>SUM(R512:R555)</f>
        <v>3.6869791700000003</v>
      </c>
      <c r="T511" s="2185">
        <f>SUM(T512:T555)</f>
        <v>0</v>
      </c>
      <c r="AR511" s="2180" t="s">
        <v>134</v>
      </c>
      <c r="AT511" s="2186" t="s">
        <v>3212</v>
      </c>
      <c r="AU511" s="2186" t="s">
        <v>133</v>
      </c>
      <c r="AY511" s="2180" t="s">
        <v>3285</v>
      </c>
      <c r="BK511" s="2187">
        <f>SUM(BK512:BK555)</f>
        <v>0</v>
      </c>
    </row>
    <row r="512" spans="2:65" s="2070" customFormat="1" ht="24.2" customHeight="1">
      <c r="B512" s="2164"/>
      <c r="C512" s="4608" t="s">
        <v>3784</v>
      </c>
      <c r="D512" s="4608" t="s">
        <v>3286</v>
      </c>
      <c r="E512" s="4609" t="s">
        <v>5006</v>
      </c>
      <c r="F512" s="4610" t="s">
        <v>5007</v>
      </c>
      <c r="G512" s="4611" t="s">
        <v>141</v>
      </c>
      <c r="H512" s="4612">
        <v>170</v>
      </c>
      <c r="I512" s="4613"/>
      <c r="J512" s="4613">
        <f>ROUND(I512*H512,2)</f>
        <v>0</v>
      </c>
      <c r="K512" s="4610" t="s">
        <v>142</v>
      </c>
      <c r="L512" s="2071"/>
      <c r="M512" s="2190" t="s">
        <v>3146</v>
      </c>
      <c r="N512" s="2163" t="s">
        <v>3181</v>
      </c>
      <c r="O512" s="2191">
        <v>0.28499999999999998</v>
      </c>
      <c r="P512" s="2191">
        <f>O512*H512</f>
        <v>48.449999999999996</v>
      </c>
      <c r="Q512" s="2191">
        <v>1.06E-3</v>
      </c>
      <c r="R512" s="2191">
        <f>Q512*H512</f>
        <v>0.1802</v>
      </c>
      <c r="S512" s="2191">
        <v>0</v>
      </c>
      <c r="T512" s="2192">
        <f>S512*H512</f>
        <v>0</v>
      </c>
      <c r="AR512" s="2193" t="s">
        <v>2894</v>
      </c>
      <c r="AT512" s="2193" t="s">
        <v>3286</v>
      </c>
      <c r="AU512" s="2193" t="s">
        <v>134</v>
      </c>
      <c r="AY512" s="2056" t="s">
        <v>3285</v>
      </c>
      <c r="BE512" s="2194">
        <f>IF(N512="základní",J512,0)</f>
        <v>0</v>
      </c>
      <c r="BF512" s="2194">
        <f>IF(N512="snížená",J512,0)</f>
        <v>0</v>
      </c>
      <c r="BG512" s="2194">
        <f>IF(N512="zákl. přenesená",J512,0)</f>
        <v>0</v>
      </c>
      <c r="BH512" s="2194">
        <f>IF(N512="sníž. přenesená",J512,0)</f>
        <v>0</v>
      </c>
      <c r="BI512" s="2194">
        <f>IF(N512="nulová",J512,0)</f>
        <v>0</v>
      </c>
      <c r="BJ512" s="2056" t="s">
        <v>134</v>
      </c>
      <c r="BK512" s="2194">
        <f>ROUND(I512*H512,2)</f>
        <v>0</v>
      </c>
      <c r="BL512" s="2056" t="s">
        <v>2894</v>
      </c>
      <c r="BM512" s="2193" t="s">
        <v>5008</v>
      </c>
    </row>
    <row r="513" spans="2:65" s="2195" customFormat="1">
      <c r="B513" s="2196"/>
      <c r="D513" s="2197" t="s">
        <v>3303</v>
      </c>
      <c r="E513" s="2198" t="s">
        <v>3146</v>
      </c>
      <c r="F513" s="2199" t="s">
        <v>5009</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3964</v>
      </c>
      <c r="H514" s="2213">
        <v>170</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170</v>
      </c>
      <c r="L515" s="2217"/>
      <c r="M515" s="2221"/>
      <c r="T515" s="2222"/>
      <c r="AT515" s="2218" t="s">
        <v>3303</v>
      </c>
      <c r="AU515" s="2218" t="s">
        <v>134</v>
      </c>
      <c r="AV515" s="2216" t="s">
        <v>856</v>
      </c>
      <c r="AW515" s="2216" t="s">
        <v>3171</v>
      </c>
      <c r="AX515" s="2216" t="s">
        <v>133</v>
      </c>
      <c r="AY515" s="2218" t="s">
        <v>3285</v>
      </c>
    </row>
    <row r="516" spans="2:65" s="2070" customFormat="1" ht="33" customHeight="1">
      <c r="B516" s="2164"/>
      <c r="C516" s="4608" t="s">
        <v>3788</v>
      </c>
      <c r="D516" s="4608" t="s">
        <v>3286</v>
      </c>
      <c r="E516" s="4609" t="s">
        <v>5010</v>
      </c>
      <c r="F516" s="4610" t="s">
        <v>5011</v>
      </c>
      <c r="G516" s="4611" t="s">
        <v>611</v>
      </c>
      <c r="H516" s="4612">
        <v>168.46799999999999</v>
      </c>
      <c r="I516" s="4613"/>
      <c r="J516" s="4613">
        <f>ROUND(I516*H516,2)</f>
        <v>0</v>
      </c>
      <c r="K516" s="4610" t="s">
        <v>142</v>
      </c>
      <c r="L516" s="2071"/>
      <c r="M516" s="2190" t="s">
        <v>3146</v>
      </c>
      <c r="N516" s="2163" t="s">
        <v>3181</v>
      </c>
      <c r="O516" s="2191">
        <v>0.95899999999999996</v>
      </c>
      <c r="P516" s="2191">
        <f>O516*H516</f>
        <v>161.56081199999997</v>
      </c>
      <c r="Q516" s="2191">
        <v>6.6100000000000004E-3</v>
      </c>
      <c r="R516" s="2191">
        <f>Q516*H516</f>
        <v>1.1135734799999999</v>
      </c>
      <c r="S516" s="2191">
        <v>0</v>
      </c>
      <c r="T516" s="2192">
        <f>S516*H516</f>
        <v>0</v>
      </c>
      <c r="AR516" s="2193" t="s">
        <v>2894</v>
      </c>
      <c r="AT516" s="2193" t="s">
        <v>3286</v>
      </c>
      <c r="AU516" s="2193" t="s">
        <v>134</v>
      </c>
      <c r="AY516" s="2056" t="s">
        <v>3285</v>
      </c>
      <c r="BE516" s="2194">
        <f>IF(N516="základní",J516,0)</f>
        <v>0</v>
      </c>
      <c r="BF516" s="2194">
        <f>IF(N516="snížená",J516,0)</f>
        <v>0</v>
      </c>
      <c r="BG516" s="2194">
        <f>IF(N516="zákl. přenesená",J516,0)</f>
        <v>0</v>
      </c>
      <c r="BH516" s="2194">
        <f>IF(N516="sníž. přenesená",J516,0)</f>
        <v>0</v>
      </c>
      <c r="BI516" s="2194">
        <f>IF(N516="nulová",J516,0)</f>
        <v>0</v>
      </c>
      <c r="BJ516" s="2056" t="s">
        <v>134</v>
      </c>
      <c r="BK516" s="2194">
        <f>ROUND(I516*H516,2)</f>
        <v>0</v>
      </c>
      <c r="BL516" s="2056" t="s">
        <v>2894</v>
      </c>
      <c r="BM516" s="2193" t="s">
        <v>5012</v>
      </c>
    </row>
    <row r="517" spans="2:65" s="2195" customFormat="1">
      <c r="B517" s="2196"/>
      <c r="D517" s="2197" t="s">
        <v>3303</v>
      </c>
      <c r="E517" s="2198" t="s">
        <v>3146</v>
      </c>
      <c r="F517" s="2199" t="s">
        <v>4694</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4695</v>
      </c>
      <c r="H518" s="2213">
        <v>45.12</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4696</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4697</v>
      </c>
      <c r="H520" s="2213">
        <v>100.548</v>
      </c>
      <c r="L520" s="2210"/>
      <c r="M520" s="2214"/>
      <c r="T520" s="2215"/>
      <c r="AT520" s="2211" t="s">
        <v>3303</v>
      </c>
      <c r="AU520" s="2211" t="s">
        <v>134</v>
      </c>
      <c r="AV520" s="2209" t="s">
        <v>134</v>
      </c>
      <c r="AW520" s="2209" t="s">
        <v>3171</v>
      </c>
      <c r="AX520" s="2209" t="s">
        <v>3213</v>
      </c>
      <c r="AY520" s="2211" t="s">
        <v>3285</v>
      </c>
    </row>
    <row r="521" spans="2:65" s="2195" customFormat="1">
      <c r="B521" s="2196"/>
      <c r="D521" s="2197" t="s">
        <v>3303</v>
      </c>
      <c r="E521" s="2198" t="s">
        <v>3146</v>
      </c>
      <c r="F521" s="2199" t="s">
        <v>4698</v>
      </c>
      <c r="H521" s="2198" t="s">
        <v>3146</v>
      </c>
      <c r="L521" s="2196"/>
      <c r="M521" s="2200"/>
      <c r="T521" s="2201"/>
      <c r="AT521" s="2198" t="s">
        <v>3303</v>
      </c>
      <c r="AU521" s="2198" t="s">
        <v>134</v>
      </c>
      <c r="AV521" s="2195" t="s">
        <v>133</v>
      </c>
      <c r="AW521" s="2195" t="s">
        <v>3171</v>
      </c>
      <c r="AX521" s="2195" t="s">
        <v>3213</v>
      </c>
      <c r="AY521" s="2198" t="s">
        <v>3285</v>
      </c>
    </row>
    <row r="522" spans="2:65" s="2209" customFormat="1">
      <c r="B522" s="2210"/>
      <c r="D522" s="2197" t="s">
        <v>3303</v>
      </c>
      <c r="E522" s="2211" t="s">
        <v>3146</v>
      </c>
      <c r="F522" s="2212" t="s">
        <v>4699</v>
      </c>
      <c r="H522" s="2213">
        <v>22.8</v>
      </c>
      <c r="L522" s="2210"/>
      <c r="M522" s="2214"/>
      <c r="T522" s="2215"/>
      <c r="AT522" s="2211" t="s">
        <v>3303</v>
      </c>
      <c r="AU522" s="2211" t="s">
        <v>134</v>
      </c>
      <c r="AV522" s="2209" t="s">
        <v>134</v>
      </c>
      <c r="AW522" s="2209" t="s">
        <v>3171</v>
      </c>
      <c r="AX522" s="2209" t="s">
        <v>3213</v>
      </c>
      <c r="AY522" s="2211" t="s">
        <v>3285</v>
      </c>
    </row>
    <row r="523" spans="2:65" s="2216" customFormat="1">
      <c r="B523" s="2217"/>
      <c r="D523" s="2197" t="s">
        <v>3303</v>
      </c>
      <c r="E523" s="2218" t="s">
        <v>3146</v>
      </c>
      <c r="F523" s="2219" t="s">
        <v>3306</v>
      </c>
      <c r="H523" s="2220">
        <v>168.46799999999999</v>
      </c>
      <c r="L523" s="2217"/>
      <c r="M523" s="2221"/>
      <c r="T523" s="2222"/>
      <c r="AT523" s="2218" t="s">
        <v>3303</v>
      </c>
      <c r="AU523" s="2218" t="s">
        <v>134</v>
      </c>
      <c r="AV523" s="2216" t="s">
        <v>856</v>
      </c>
      <c r="AW523" s="2216" t="s">
        <v>3171</v>
      </c>
      <c r="AX523" s="2216" t="s">
        <v>133</v>
      </c>
      <c r="AY523" s="2218" t="s">
        <v>3285</v>
      </c>
    </row>
    <row r="524" spans="2:65" s="2070" customFormat="1" ht="24.2" customHeight="1">
      <c r="B524" s="2164"/>
      <c r="C524" s="4608" t="s">
        <v>3792</v>
      </c>
      <c r="D524" s="4608" t="s">
        <v>3286</v>
      </c>
      <c r="E524" s="4609" t="s">
        <v>5013</v>
      </c>
      <c r="F524" s="4610" t="s">
        <v>5014</v>
      </c>
      <c r="G524" s="4611" t="s">
        <v>141</v>
      </c>
      <c r="H524" s="4612">
        <v>12</v>
      </c>
      <c r="I524" s="4613"/>
      <c r="J524" s="4613">
        <f>ROUND(I524*H524,2)</f>
        <v>0</v>
      </c>
      <c r="K524" s="4610" t="s">
        <v>142</v>
      </c>
      <c r="L524" s="2071"/>
      <c r="M524" s="2190" t="s">
        <v>3146</v>
      </c>
      <c r="N524" s="2163" t="s">
        <v>3181</v>
      </c>
      <c r="O524" s="2191">
        <v>0.28100000000000003</v>
      </c>
      <c r="P524" s="2191">
        <f>O524*H524</f>
        <v>3.3720000000000003</v>
      </c>
      <c r="Q524" s="2191">
        <v>1.97E-3</v>
      </c>
      <c r="R524" s="2191">
        <f>Q524*H524</f>
        <v>2.3640000000000001E-2</v>
      </c>
      <c r="S524" s="2191">
        <v>0</v>
      </c>
      <c r="T524" s="2192">
        <f>S524*H524</f>
        <v>0</v>
      </c>
      <c r="AR524" s="2193" t="s">
        <v>2894</v>
      </c>
      <c r="AT524" s="2193" t="s">
        <v>3286</v>
      </c>
      <c r="AU524" s="2193" t="s">
        <v>134</v>
      </c>
      <c r="AY524" s="2056" t="s">
        <v>3285</v>
      </c>
      <c r="BE524" s="2194">
        <f>IF(N524="základní",J524,0)</f>
        <v>0</v>
      </c>
      <c r="BF524" s="2194">
        <f>IF(N524="snížená",J524,0)</f>
        <v>0</v>
      </c>
      <c r="BG524" s="2194">
        <f>IF(N524="zákl. přenesená",J524,0)</f>
        <v>0</v>
      </c>
      <c r="BH524" s="2194">
        <f>IF(N524="sníž. přenesená",J524,0)</f>
        <v>0</v>
      </c>
      <c r="BI524" s="2194">
        <f>IF(N524="nulová",J524,0)</f>
        <v>0</v>
      </c>
      <c r="BJ524" s="2056" t="s">
        <v>134</v>
      </c>
      <c r="BK524" s="2194">
        <f>ROUND(I524*H524,2)</f>
        <v>0</v>
      </c>
      <c r="BL524" s="2056" t="s">
        <v>2894</v>
      </c>
      <c r="BM524" s="2193" t="s">
        <v>5015</v>
      </c>
    </row>
    <row r="525" spans="2:65" s="2195" customFormat="1">
      <c r="B525" s="2196"/>
      <c r="D525" s="2197" t="s">
        <v>3303</v>
      </c>
      <c r="E525" s="2198" t="s">
        <v>3146</v>
      </c>
      <c r="F525" s="2199" t="s">
        <v>5016</v>
      </c>
      <c r="H525" s="2198" t="s">
        <v>3146</v>
      </c>
      <c r="L525" s="2196"/>
      <c r="M525" s="2200"/>
      <c r="T525" s="2201"/>
      <c r="AT525" s="2198" t="s">
        <v>3303</v>
      </c>
      <c r="AU525" s="2198" t="s">
        <v>134</v>
      </c>
      <c r="AV525" s="2195" t="s">
        <v>133</v>
      </c>
      <c r="AW525" s="2195" t="s">
        <v>3171</v>
      </c>
      <c r="AX525" s="2195" t="s">
        <v>3213</v>
      </c>
      <c r="AY525" s="2198" t="s">
        <v>3285</v>
      </c>
    </row>
    <row r="526" spans="2:65" s="2209" customFormat="1">
      <c r="B526" s="2210"/>
      <c r="D526" s="2197" t="s">
        <v>3303</v>
      </c>
      <c r="E526" s="2211" t="s">
        <v>3146</v>
      </c>
      <c r="F526" s="2212" t="s">
        <v>5017</v>
      </c>
      <c r="H526" s="2213">
        <v>12</v>
      </c>
      <c r="L526" s="2210"/>
      <c r="M526" s="2214"/>
      <c r="T526" s="2215"/>
      <c r="AT526" s="2211" t="s">
        <v>3303</v>
      </c>
      <c r="AU526" s="2211" t="s">
        <v>134</v>
      </c>
      <c r="AV526" s="2209" t="s">
        <v>134</v>
      </c>
      <c r="AW526" s="2209" t="s">
        <v>3171</v>
      </c>
      <c r="AX526" s="2209" t="s">
        <v>3213</v>
      </c>
      <c r="AY526" s="2211" t="s">
        <v>3285</v>
      </c>
    </row>
    <row r="527" spans="2:65" s="2216" customFormat="1">
      <c r="B527" s="2217"/>
      <c r="D527" s="2197" t="s">
        <v>3303</v>
      </c>
      <c r="E527" s="2218" t="s">
        <v>3146</v>
      </c>
      <c r="F527" s="2219" t="s">
        <v>3306</v>
      </c>
      <c r="H527" s="2220">
        <v>12</v>
      </c>
      <c r="L527" s="2217"/>
      <c r="M527" s="2221"/>
      <c r="T527" s="2222"/>
      <c r="AT527" s="2218" t="s">
        <v>3303</v>
      </c>
      <c r="AU527" s="2218" t="s">
        <v>134</v>
      </c>
      <c r="AV527" s="2216" t="s">
        <v>856</v>
      </c>
      <c r="AW527" s="2216" t="s">
        <v>3171</v>
      </c>
      <c r="AX527" s="2216" t="s">
        <v>133</v>
      </c>
      <c r="AY527" s="2218" t="s">
        <v>3285</v>
      </c>
    </row>
    <row r="528" spans="2:65" s="2070" customFormat="1" ht="24.2" customHeight="1">
      <c r="B528" s="2164"/>
      <c r="C528" s="4608" t="s">
        <v>3797</v>
      </c>
      <c r="D528" s="4608" t="s">
        <v>3286</v>
      </c>
      <c r="E528" s="4609" t="s">
        <v>5018</v>
      </c>
      <c r="F528" s="4610" t="s">
        <v>5019</v>
      </c>
      <c r="G528" s="4611" t="s">
        <v>141</v>
      </c>
      <c r="H528" s="4612">
        <v>37</v>
      </c>
      <c r="I528" s="4613"/>
      <c r="J528" s="4613">
        <f>ROUND(I528*H528,2)</f>
        <v>0</v>
      </c>
      <c r="K528" s="4610" t="s">
        <v>142</v>
      </c>
      <c r="L528" s="2071"/>
      <c r="M528" s="2190" t="s">
        <v>3146</v>
      </c>
      <c r="N528" s="2163" t="s">
        <v>3181</v>
      </c>
      <c r="O528" s="2191">
        <v>0.30499999999999999</v>
      </c>
      <c r="P528" s="2191">
        <f>O528*H528</f>
        <v>11.285</v>
      </c>
      <c r="Q528" s="2191">
        <v>2.8700000000000002E-3</v>
      </c>
      <c r="R528" s="2191">
        <f>Q528*H528</f>
        <v>0.10619000000000001</v>
      </c>
      <c r="S528" s="2191">
        <v>0</v>
      </c>
      <c r="T528" s="2192">
        <f>S528*H528</f>
        <v>0</v>
      </c>
      <c r="AR528" s="2193" t="s">
        <v>2894</v>
      </c>
      <c r="AT528" s="2193" t="s">
        <v>3286</v>
      </c>
      <c r="AU528" s="2193" t="s">
        <v>134</v>
      </c>
      <c r="AY528" s="2056" t="s">
        <v>3285</v>
      </c>
      <c r="BE528" s="2194">
        <f>IF(N528="základní",J528,0)</f>
        <v>0</v>
      </c>
      <c r="BF528" s="2194">
        <f>IF(N528="snížená",J528,0)</f>
        <v>0</v>
      </c>
      <c r="BG528" s="2194">
        <f>IF(N528="zákl. přenesená",J528,0)</f>
        <v>0</v>
      </c>
      <c r="BH528" s="2194">
        <f>IF(N528="sníž. přenesená",J528,0)</f>
        <v>0</v>
      </c>
      <c r="BI528" s="2194">
        <f>IF(N528="nulová",J528,0)</f>
        <v>0</v>
      </c>
      <c r="BJ528" s="2056" t="s">
        <v>134</v>
      </c>
      <c r="BK528" s="2194">
        <f>ROUND(I528*H528,2)</f>
        <v>0</v>
      </c>
      <c r="BL528" s="2056" t="s">
        <v>2894</v>
      </c>
      <c r="BM528" s="2193" t="s">
        <v>5020</v>
      </c>
    </row>
    <row r="529" spans="2:65" s="2195" customFormat="1">
      <c r="B529" s="2196"/>
      <c r="D529" s="2197" t="s">
        <v>3303</v>
      </c>
      <c r="E529" s="2198" t="s">
        <v>3146</v>
      </c>
      <c r="F529" s="2199" t="s">
        <v>5021</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5022</v>
      </c>
      <c r="H530" s="2213">
        <v>37</v>
      </c>
      <c r="L530" s="2210"/>
      <c r="M530" s="2214"/>
      <c r="T530" s="2215"/>
      <c r="AT530" s="2211" t="s">
        <v>3303</v>
      </c>
      <c r="AU530" s="2211" t="s">
        <v>134</v>
      </c>
      <c r="AV530" s="2209" t="s">
        <v>134</v>
      </c>
      <c r="AW530" s="2209" t="s">
        <v>3171</v>
      </c>
      <c r="AX530" s="2209" t="s">
        <v>133</v>
      </c>
      <c r="AY530" s="2211" t="s">
        <v>3285</v>
      </c>
    </row>
    <row r="531" spans="2:65" s="2070" customFormat="1" ht="33" customHeight="1">
      <c r="B531" s="2164"/>
      <c r="C531" s="4608" t="s">
        <v>3798</v>
      </c>
      <c r="D531" s="4608" t="s">
        <v>3286</v>
      </c>
      <c r="E531" s="4609" t="s">
        <v>5023</v>
      </c>
      <c r="F531" s="4610" t="s">
        <v>5024</v>
      </c>
      <c r="G531" s="4611" t="s">
        <v>141</v>
      </c>
      <c r="H531" s="4612">
        <v>11</v>
      </c>
      <c r="I531" s="4613"/>
      <c r="J531" s="4613">
        <f>ROUND(I531*H531,2)</f>
        <v>0</v>
      </c>
      <c r="K531" s="4610" t="s">
        <v>142</v>
      </c>
      <c r="L531" s="2071"/>
      <c r="M531" s="2190" t="s">
        <v>3146</v>
      </c>
      <c r="N531" s="2163" t="s">
        <v>3181</v>
      </c>
      <c r="O531" s="2191">
        <v>0.84499999999999997</v>
      </c>
      <c r="P531" s="2191">
        <f>O531*H531</f>
        <v>9.2949999999999999</v>
      </c>
      <c r="Q531" s="2191">
        <v>5.8399999999999997E-3</v>
      </c>
      <c r="R531" s="2191">
        <f>Q531*H531</f>
        <v>6.4239999999999992E-2</v>
      </c>
      <c r="S531" s="2191">
        <v>0</v>
      </c>
      <c r="T531" s="2192">
        <f>S531*H531</f>
        <v>0</v>
      </c>
      <c r="AR531" s="2193" t="s">
        <v>2894</v>
      </c>
      <c r="AT531" s="2193" t="s">
        <v>3286</v>
      </c>
      <c r="AU531" s="2193" t="s">
        <v>134</v>
      </c>
      <c r="AY531" s="2056" t="s">
        <v>3285</v>
      </c>
      <c r="BE531" s="2194">
        <f>IF(N531="základní",J531,0)</f>
        <v>0</v>
      </c>
      <c r="BF531" s="2194">
        <f>IF(N531="snížená",J531,0)</f>
        <v>0</v>
      </c>
      <c r="BG531" s="2194">
        <f>IF(N531="zákl. přenesená",J531,0)</f>
        <v>0</v>
      </c>
      <c r="BH531" s="2194">
        <f>IF(N531="sníž. přenesená",J531,0)</f>
        <v>0</v>
      </c>
      <c r="BI531" s="2194">
        <f>IF(N531="nulová",J531,0)</f>
        <v>0</v>
      </c>
      <c r="BJ531" s="2056" t="s">
        <v>134</v>
      </c>
      <c r="BK531" s="2194">
        <f>ROUND(I531*H531,2)</f>
        <v>0</v>
      </c>
      <c r="BL531" s="2056" t="s">
        <v>2894</v>
      </c>
      <c r="BM531" s="2193" t="s">
        <v>5025</v>
      </c>
    </row>
    <row r="532" spans="2:65" s="2195" customFormat="1">
      <c r="B532" s="2196"/>
      <c r="D532" s="2197" t="s">
        <v>3303</v>
      </c>
      <c r="E532" s="2198" t="s">
        <v>3146</v>
      </c>
      <c r="F532" s="2199" t="s">
        <v>5026</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2071</v>
      </c>
      <c r="H533" s="2213">
        <v>9</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5027</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134</v>
      </c>
      <c r="H535" s="2213">
        <v>2</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11</v>
      </c>
      <c r="L536" s="2217"/>
      <c r="M536" s="2221"/>
      <c r="T536" s="2222"/>
      <c r="AT536" s="2218" t="s">
        <v>3303</v>
      </c>
      <c r="AU536" s="2218" t="s">
        <v>134</v>
      </c>
      <c r="AV536" s="2216" t="s">
        <v>856</v>
      </c>
      <c r="AW536" s="2216" t="s">
        <v>3171</v>
      </c>
      <c r="AX536" s="2216" t="s">
        <v>133</v>
      </c>
      <c r="AY536" s="2218" t="s">
        <v>3285</v>
      </c>
    </row>
    <row r="537" spans="2:65" s="2070" customFormat="1" ht="33" customHeight="1">
      <c r="B537" s="2164"/>
      <c r="C537" s="4608" t="s">
        <v>3808</v>
      </c>
      <c r="D537" s="4608" t="s">
        <v>3286</v>
      </c>
      <c r="E537" s="4609" t="s">
        <v>5028</v>
      </c>
      <c r="F537" s="4610" t="s">
        <v>5029</v>
      </c>
      <c r="G537" s="4611" t="s">
        <v>611</v>
      </c>
      <c r="H537" s="4612">
        <v>231.82300000000001</v>
      </c>
      <c r="I537" s="4613"/>
      <c r="J537" s="4613">
        <f>ROUND(I537*H537,2)</f>
        <v>0</v>
      </c>
      <c r="K537" s="4610" t="s">
        <v>142</v>
      </c>
      <c r="L537" s="2071"/>
      <c r="M537" s="2190" t="s">
        <v>3146</v>
      </c>
      <c r="N537" s="2163" t="s">
        <v>3181</v>
      </c>
      <c r="O537" s="2191">
        <v>1.125</v>
      </c>
      <c r="P537" s="2191">
        <f>O537*H537</f>
        <v>260.80087500000002</v>
      </c>
      <c r="Q537" s="2191">
        <v>7.8300000000000002E-3</v>
      </c>
      <c r="R537" s="2191">
        <f>Q537*H537</f>
        <v>1.8151740900000002</v>
      </c>
      <c r="S537" s="2191">
        <v>0</v>
      </c>
      <c r="T537" s="2192">
        <f>S537*H537</f>
        <v>0</v>
      </c>
      <c r="AR537" s="2193" t="s">
        <v>2894</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2894</v>
      </c>
      <c r="BM537" s="2193" t="s">
        <v>5030</v>
      </c>
    </row>
    <row r="538" spans="2:65" s="2195" customFormat="1">
      <c r="B538" s="2196"/>
      <c r="D538" s="2197" t="s">
        <v>3303</v>
      </c>
      <c r="E538" s="2198" t="s">
        <v>3146</v>
      </c>
      <c r="F538" s="2199" t="s">
        <v>5031</v>
      </c>
      <c r="H538" s="2198" t="s">
        <v>3146</v>
      </c>
      <c r="L538" s="2196"/>
      <c r="M538" s="2200"/>
      <c r="T538" s="2201"/>
      <c r="AT538" s="2198" t="s">
        <v>3303</v>
      </c>
      <c r="AU538" s="2198" t="s">
        <v>134</v>
      </c>
      <c r="AV538" s="2195" t="s">
        <v>133</v>
      </c>
      <c r="AW538" s="2195" t="s">
        <v>3171</v>
      </c>
      <c r="AX538" s="2195" t="s">
        <v>3213</v>
      </c>
      <c r="AY538" s="2198" t="s">
        <v>3285</v>
      </c>
    </row>
    <row r="539" spans="2:65" s="2209" customFormat="1">
      <c r="B539" s="2210"/>
      <c r="D539" s="2197" t="s">
        <v>3303</v>
      </c>
      <c r="E539" s="2211" t="s">
        <v>3146</v>
      </c>
      <c r="F539" s="2212" t="s">
        <v>5032</v>
      </c>
      <c r="H539" s="2213">
        <v>174.32900000000001</v>
      </c>
      <c r="L539" s="2210"/>
      <c r="M539" s="2214"/>
      <c r="T539" s="2215"/>
      <c r="AT539" s="2211" t="s">
        <v>3303</v>
      </c>
      <c r="AU539" s="2211" t="s">
        <v>134</v>
      </c>
      <c r="AV539" s="2209" t="s">
        <v>134</v>
      </c>
      <c r="AW539" s="2209" t="s">
        <v>3171</v>
      </c>
      <c r="AX539" s="2209" t="s">
        <v>3213</v>
      </c>
      <c r="AY539" s="2211" t="s">
        <v>3285</v>
      </c>
    </row>
    <row r="540" spans="2:65" s="2209" customFormat="1">
      <c r="B540" s="2210"/>
      <c r="D540" s="2197" t="s">
        <v>3303</v>
      </c>
      <c r="E540" s="2211" t="s">
        <v>3146</v>
      </c>
      <c r="F540" s="2212" t="s">
        <v>5033</v>
      </c>
      <c r="H540" s="2213">
        <v>13.247999999999999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5034</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5035</v>
      </c>
      <c r="H542" s="2213">
        <v>7.59</v>
      </c>
      <c r="L542" s="2210"/>
      <c r="M542" s="2214"/>
      <c r="T542" s="2215"/>
      <c r="AT542" s="2211" t="s">
        <v>3303</v>
      </c>
      <c r="AU542" s="2211" t="s">
        <v>134</v>
      </c>
      <c r="AV542" s="2209" t="s">
        <v>134</v>
      </c>
      <c r="AW542" s="2209" t="s">
        <v>3171</v>
      </c>
      <c r="AX542" s="2209" t="s">
        <v>3213</v>
      </c>
      <c r="AY542" s="2211" t="s">
        <v>3285</v>
      </c>
    </row>
    <row r="543" spans="2:65" s="2195" customFormat="1">
      <c r="B543" s="2196"/>
      <c r="D543" s="2197" t="s">
        <v>3303</v>
      </c>
      <c r="E543" s="2198" t="s">
        <v>3146</v>
      </c>
      <c r="F543" s="2199" t="s">
        <v>5036</v>
      </c>
      <c r="H543" s="2198" t="s">
        <v>3146</v>
      </c>
      <c r="L543" s="2196"/>
      <c r="M543" s="2200"/>
      <c r="T543" s="2201"/>
      <c r="AT543" s="2198" t="s">
        <v>3303</v>
      </c>
      <c r="AU543" s="2198" t="s">
        <v>134</v>
      </c>
      <c r="AV543" s="2195" t="s">
        <v>133</v>
      </c>
      <c r="AW543" s="2195" t="s">
        <v>3171</v>
      </c>
      <c r="AX543" s="2195" t="s">
        <v>3213</v>
      </c>
      <c r="AY543" s="2198" t="s">
        <v>3285</v>
      </c>
    </row>
    <row r="544" spans="2:65" s="2209" customFormat="1">
      <c r="B544" s="2210"/>
      <c r="D544" s="2197" t="s">
        <v>3303</v>
      </c>
      <c r="E544" s="2211" t="s">
        <v>3146</v>
      </c>
      <c r="F544" s="2212" t="s">
        <v>5037</v>
      </c>
      <c r="H544" s="2213">
        <v>36.655999999999999</v>
      </c>
      <c r="L544" s="2210"/>
      <c r="M544" s="2214"/>
      <c r="T544" s="2215"/>
      <c r="AT544" s="2211" t="s">
        <v>3303</v>
      </c>
      <c r="AU544" s="2211" t="s">
        <v>134</v>
      </c>
      <c r="AV544" s="2209" t="s">
        <v>134</v>
      </c>
      <c r="AW544" s="2209" t="s">
        <v>3171</v>
      </c>
      <c r="AX544" s="2209" t="s">
        <v>3213</v>
      </c>
      <c r="AY544" s="2211" t="s">
        <v>3285</v>
      </c>
    </row>
    <row r="545" spans="2:65" s="2216" customFormat="1">
      <c r="B545" s="2217"/>
      <c r="D545" s="2197" t="s">
        <v>3303</v>
      </c>
      <c r="E545" s="2218" t="s">
        <v>3146</v>
      </c>
      <c r="F545" s="2219" t="s">
        <v>3306</v>
      </c>
      <c r="H545" s="2220">
        <v>231.82300000000001</v>
      </c>
      <c r="L545" s="2217"/>
      <c r="M545" s="2221"/>
      <c r="T545" s="2222"/>
      <c r="AT545" s="2218" t="s">
        <v>3303</v>
      </c>
      <c r="AU545" s="2218" t="s">
        <v>134</v>
      </c>
      <c r="AV545" s="2216" t="s">
        <v>856</v>
      </c>
      <c r="AW545" s="2216" t="s">
        <v>3171</v>
      </c>
      <c r="AX545" s="2216" t="s">
        <v>133</v>
      </c>
      <c r="AY545" s="2218" t="s">
        <v>3285</v>
      </c>
    </row>
    <row r="546" spans="2:65" s="2070" customFormat="1" ht="24.2" customHeight="1">
      <c r="B546" s="2164"/>
      <c r="C546" s="4608" t="s">
        <v>3813</v>
      </c>
      <c r="D546" s="4608" t="s">
        <v>3286</v>
      </c>
      <c r="E546" s="4609" t="s">
        <v>5038</v>
      </c>
      <c r="F546" s="4610" t="s">
        <v>5039</v>
      </c>
      <c r="G546" s="4611" t="s">
        <v>141</v>
      </c>
      <c r="H546" s="4612">
        <v>193.92</v>
      </c>
      <c r="I546" s="4613"/>
      <c r="J546" s="4613">
        <f>ROUND(I546*H546,2)</f>
        <v>0</v>
      </c>
      <c r="K546" s="4610" t="s">
        <v>142</v>
      </c>
      <c r="L546" s="2071"/>
      <c r="M546" s="2190" t="s">
        <v>3146</v>
      </c>
      <c r="N546" s="2163" t="s">
        <v>3181</v>
      </c>
      <c r="O546" s="2191">
        <v>0.33100000000000002</v>
      </c>
      <c r="P546" s="2191">
        <f>O546*H546</f>
        <v>64.187519999999992</v>
      </c>
      <c r="Q546" s="2191">
        <v>1.98E-3</v>
      </c>
      <c r="R546" s="2191">
        <f>Q546*H546</f>
        <v>0.38396159999999996</v>
      </c>
      <c r="S546" s="2191">
        <v>0</v>
      </c>
      <c r="T546" s="2192">
        <f>S546*H546</f>
        <v>0</v>
      </c>
      <c r="AR546" s="2193" t="s">
        <v>2894</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2894</v>
      </c>
      <c r="BM546" s="2193" t="s">
        <v>5040</v>
      </c>
    </row>
    <row r="547" spans="2:65" s="2195" customFormat="1">
      <c r="B547" s="2196"/>
      <c r="D547" s="2197" t="s">
        <v>3303</v>
      </c>
      <c r="E547" s="2198" t="s">
        <v>3146</v>
      </c>
      <c r="F547" s="2199" t="s">
        <v>5041</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5042</v>
      </c>
      <c r="H548" s="2213">
        <v>6</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5043</v>
      </c>
      <c r="H549" s="2198" t="s">
        <v>3146</v>
      </c>
      <c r="L549" s="2196"/>
      <c r="M549" s="2200"/>
      <c r="T549" s="2201"/>
      <c r="AT549" s="2198" t="s">
        <v>3303</v>
      </c>
      <c r="AU549" s="2198" t="s">
        <v>134</v>
      </c>
      <c r="AV549" s="2195" t="s">
        <v>133</v>
      </c>
      <c r="AW549" s="2195" t="s">
        <v>3171</v>
      </c>
      <c r="AX549" s="2195" t="s">
        <v>3213</v>
      </c>
      <c r="AY549" s="2198" t="s">
        <v>3285</v>
      </c>
    </row>
    <row r="550" spans="2:65" s="2209" customFormat="1">
      <c r="B550" s="2210"/>
      <c r="D550" s="2197" t="s">
        <v>3303</v>
      </c>
      <c r="E550" s="2211" t="s">
        <v>3146</v>
      </c>
      <c r="F550" s="2212" t="s">
        <v>5044</v>
      </c>
      <c r="H550" s="2213">
        <v>4.8</v>
      </c>
      <c r="L550" s="2210"/>
      <c r="M550" s="2214"/>
      <c r="T550" s="2215"/>
      <c r="AT550" s="2211" t="s">
        <v>3303</v>
      </c>
      <c r="AU550" s="2211" t="s">
        <v>134</v>
      </c>
      <c r="AV550" s="2209" t="s">
        <v>134</v>
      </c>
      <c r="AW550" s="2209" t="s">
        <v>3171</v>
      </c>
      <c r="AX550" s="2209" t="s">
        <v>3213</v>
      </c>
      <c r="AY550" s="2211" t="s">
        <v>3285</v>
      </c>
    </row>
    <row r="551" spans="2:65" s="2195" customFormat="1">
      <c r="B551" s="2196"/>
      <c r="D551" s="2197" t="s">
        <v>3303</v>
      </c>
      <c r="E551" s="2198" t="s">
        <v>3146</v>
      </c>
      <c r="F551" s="2199" t="s">
        <v>5045</v>
      </c>
      <c r="H551" s="2198" t="s">
        <v>3146</v>
      </c>
      <c r="L551" s="2196"/>
      <c r="M551" s="2200"/>
      <c r="T551" s="2201"/>
      <c r="AT551" s="2198" t="s">
        <v>3303</v>
      </c>
      <c r="AU551" s="2198" t="s">
        <v>134</v>
      </c>
      <c r="AV551" s="2195" t="s">
        <v>133</v>
      </c>
      <c r="AW551" s="2195" t="s">
        <v>3171</v>
      </c>
      <c r="AX551" s="2195" t="s">
        <v>3213</v>
      </c>
      <c r="AY551" s="2198" t="s">
        <v>3285</v>
      </c>
    </row>
    <row r="552" spans="2:65" s="2209" customFormat="1" ht="22.5">
      <c r="B552" s="2210"/>
      <c r="D552" s="2197" t="s">
        <v>3303</v>
      </c>
      <c r="E552" s="2211" t="s">
        <v>3146</v>
      </c>
      <c r="F552" s="2212" t="s">
        <v>5046</v>
      </c>
      <c r="H552" s="2213">
        <v>183.12</v>
      </c>
      <c r="L552" s="2210"/>
      <c r="M552" s="2214"/>
      <c r="T552" s="2215"/>
      <c r="AT552" s="2211" t="s">
        <v>3303</v>
      </c>
      <c r="AU552" s="2211" t="s">
        <v>134</v>
      </c>
      <c r="AV552" s="2209" t="s">
        <v>134</v>
      </c>
      <c r="AW552" s="2209" t="s">
        <v>3171</v>
      </c>
      <c r="AX552" s="2209" t="s">
        <v>3213</v>
      </c>
      <c r="AY552" s="2211" t="s">
        <v>3285</v>
      </c>
    </row>
    <row r="553" spans="2:65" s="2216" customFormat="1">
      <c r="B553" s="2217"/>
      <c r="D553" s="2197" t="s">
        <v>3303</v>
      </c>
      <c r="E553" s="2218" t="s">
        <v>3146</v>
      </c>
      <c r="F553" s="2219" t="s">
        <v>3306</v>
      </c>
      <c r="H553" s="2220">
        <v>193.92</v>
      </c>
      <c r="L553" s="2217"/>
      <c r="M553" s="2221"/>
      <c r="T553" s="2222"/>
      <c r="AT553" s="2218" t="s">
        <v>3303</v>
      </c>
      <c r="AU553" s="2218" t="s">
        <v>134</v>
      </c>
      <c r="AV553" s="2216" t="s">
        <v>856</v>
      </c>
      <c r="AW553" s="2216" t="s">
        <v>3171</v>
      </c>
      <c r="AX553" s="2216" t="s">
        <v>133</v>
      </c>
      <c r="AY553" s="2218" t="s">
        <v>3285</v>
      </c>
    </row>
    <row r="554" spans="2:65" s="2070" customFormat="1" ht="24.2" customHeight="1">
      <c r="B554" s="2164"/>
      <c r="C554" s="4608" t="s">
        <v>3819</v>
      </c>
      <c r="D554" s="4608" t="s">
        <v>3286</v>
      </c>
      <c r="E554" s="4609" t="s">
        <v>11108</v>
      </c>
      <c r="F554" s="4610" t="s">
        <v>11109</v>
      </c>
      <c r="G554" s="4611" t="s">
        <v>302</v>
      </c>
      <c r="H554" s="4612">
        <v>3.6869999999999998</v>
      </c>
      <c r="I554" s="4613"/>
      <c r="J554" s="4613">
        <f>ROUND(I554*H554,2)</f>
        <v>0</v>
      </c>
      <c r="K554" s="4610" t="s">
        <v>142</v>
      </c>
      <c r="L554" s="2071"/>
      <c r="M554" s="2190" t="s">
        <v>3146</v>
      </c>
      <c r="N554" s="2163" t="s">
        <v>3181</v>
      </c>
      <c r="O554" s="2191">
        <v>4.9470000000000001</v>
      </c>
      <c r="P554" s="2191">
        <f>O554*H554</f>
        <v>18.239588999999999</v>
      </c>
      <c r="Q554" s="2191">
        <v>0</v>
      </c>
      <c r="R554" s="2191">
        <f>Q554*H554</f>
        <v>0</v>
      </c>
      <c r="S554" s="2191">
        <v>0</v>
      </c>
      <c r="T554" s="2192">
        <f>S554*H554</f>
        <v>0</v>
      </c>
      <c r="AR554" s="2193" t="s">
        <v>2894</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2894</v>
      </c>
      <c r="BM554" s="2193" t="s">
        <v>11110</v>
      </c>
    </row>
    <row r="555" spans="2:65" s="2070" customFormat="1" ht="24.2" customHeight="1">
      <c r="B555" s="2164"/>
      <c r="C555" s="4608" t="s">
        <v>3823</v>
      </c>
      <c r="D555" s="4608" t="s">
        <v>3286</v>
      </c>
      <c r="E555" s="4609" t="s">
        <v>11111</v>
      </c>
      <c r="F555" s="4610" t="s">
        <v>11112</v>
      </c>
      <c r="G555" s="4611" t="s">
        <v>302</v>
      </c>
      <c r="H555" s="4612">
        <v>3.6869999999999998</v>
      </c>
      <c r="I555" s="4613"/>
      <c r="J555" s="4613">
        <f>ROUND(I555*H555,2)</f>
        <v>0</v>
      </c>
      <c r="K555" s="4610" t="s">
        <v>142</v>
      </c>
      <c r="L555" s="2071"/>
      <c r="M555" s="2190" t="s">
        <v>3146</v>
      </c>
      <c r="N555" s="2163" t="s">
        <v>3181</v>
      </c>
      <c r="O555" s="2191">
        <v>2.75</v>
      </c>
      <c r="P555" s="2191">
        <f>O555*H555</f>
        <v>10.139249999999999</v>
      </c>
      <c r="Q555" s="2191">
        <v>0</v>
      </c>
      <c r="R555" s="2191">
        <f>Q555*H555</f>
        <v>0</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11113</v>
      </c>
    </row>
    <row r="556" spans="2:65" s="2178" customFormat="1" ht="22.9" customHeight="1">
      <c r="B556" s="2179"/>
      <c r="D556" s="2180" t="s">
        <v>3212</v>
      </c>
      <c r="E556" s="2188" t="s">
        <v>4383</v>
      </c>
      <c r="F556" s="2188" t="s">
        <v>4384</v>
      </c>
      <c r="J556" s="2189">
        <f>BK556</f>
        <v>0</v>
      </c>
      <c r="L556" s="2179"/>
      <c r="M556" s="2183"/>
      <c r="P556" s="2184">
        <f>SUM(P557:P578)</f>
        <v>13.124834999999999</v>
      </c>
      <c r="R556" s="2184">
        <f>SUM(R557:R578)</f>
        <v>0.102802</v>
      </c>
      <c r="T556" s="2185">
        <f>SUM(T557:T578)</f>
        <v>0</v>
      </c>
      <c r="AR556" s="2180" t="s">
        <v>134</v>
      </c>
      <c r="AT556" s="2186" t="s">
        <v>3212</v>
      </c>
      <c r="AU556" s="2186" t="s">
        <v>133</v>
      </c>
      <c r="AY556" s="2180" t="s">
        <v>3285</v>
      </c>
      <c r="BK556" s="2187">
        <f>SUM(BK557:BK578)</f>
        <v>0</v>
      </c>
    </row>
    <row r="557" spans="2:65" s="2070" customFormat="1" ht="24.2" customHeight="1">
      <c r="B557" s="2164"/>
      <c r="C557" s="4608" t="s">
        <v>3827</v>
      </c>
      <c r="D557" s="4608" t="s">
        <v>3286</v>
      </c>
      <c r="E557" s="4609" t="s">
        <v>5047</v>
      </c>
      <c r="F557" s="4610" t="s">
        <v>5048</v>
      </c>
      <c r="G557" s="4611" t="s">
        <v>141</v>
      </c>
      <c r="H557" s="4612">
        <v>38.1</v>
      </c>
      <c r="I557" s="4613"/>
      <c r="J557" s="4613">
        <f>ROUND(I557*H557,2)</f>
        <v>0</v>
      </c>
      <c r="K557" s="4610" t="s">
        <v>142</v>
      </c>
      <c r="L557" s="2071"/>
      <c r="M557" s="2190" t="s">
        <v>3146</v>
      </c>
      <c r="N557" s="2163" t="s">
        <v>3181</v>
      </c>
      <c r="O557" s="2191">
        <v>0.17</v>
      </c>
      <c r="P557" s="2191">
        <f>O557*H557</f>
        <v>6.4770000000000003</v>
      </c>
      <c r="Q557" s="2191">
        <v>3.4000000000000002E-4</v>
      </c>
      <c r="R557" s="2191">
        <f>Q557*H557</f>
        <v>1.2954000000000002E-2</v>
      </c>
      <c r="S557" s="2191">
        <v>0</v>
      </c>
      <c r="T557" s="2192">
        <f>S557*H557</f>
        <v>0</v>
      </c>
      <c r="AR557" s="2193" t="s">
        <v>2894</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2894</v>
      </c>
      <c r="BM557" s="2193" t="s">
        <v>5049</v>
      </c>
    </row>
    <row r="558" spans="2:65" s="2195" customFormat="1">
      <c r="B558" s="2196"/>
      <c r="D558" s="2197" t="s">
        <v>3303</v>
      </c>
      <c r="E558" s="2198" t="s">
        <v>3146</v>
      </c>
      <c r="F558" s="2199" t="s">
        <v>5050</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5051</v>
      </c>
      <c r="H559" s="2213">
        <v>36.9</v>
      </c>
      <c r="L559" s="2210"/>
      <c r="M559" s="2214"/>
      <c r="T559" s="2215"/>
      <c r="AT559" s="2211" t="s">
        <v>3303</v>
      </c>
      <c r="AU559" s="2211" t="s">
        <v>134</v>
      </c>
      <c r="AV559" s="2209" t="s">
        <v>134</v>
      </c>
      <c r="AW559" s="2209" t="s">
        <v>3171</v>
      </c>
      <c r="AX559" s="2209" t="s">
        <v>3213</v>
      </c>
      <c r="AY559" s="2211" t="s">
        <v>3285</v>
      </c>
    </row>
    <row r="560" spans="2:65" s="2195" customFormat="1">
      <c r="B560" s="2196"/>
      <c r="D560" s="2197" t="s">
        <v>3303</v>
      </c>
      <c r="E560" s="2198" t="s">
        <v>3146</v>
      </c>
      <c r="F560" s="2199" t="s">
        <v>5052</v>
      </c>
      <c r="H560" s="2198" t="s">
        <v>3146</v>
      </c>
      <c r="L560" s="2196"/>
      <c r="M560" s="2200"/>
      <c r="T560" s="2201"/>
      <c r="AT560" s="2198" t="s">
        <v>3303</v>
      </c>
      <c r="AU560" s="2198" t="s">
        <v>134</v>
      </c>
      <c r="AV560" s="2195" t="s">
        <v>133</v>
      </c>
      <c r="AW560" s="2195" t="s">
        <v>3171</v>
      </c>
      <c r="AX560" s="2195" t="s">
        <v>3213</v>
      </c>
      <c r="AY560" s="2198" t="s">
        <v>3285</v>
      </c>
    </row>
    <row r="561" spans="2:65" s="2209" customFormat="1">
      <c r="B561" s="2210"/>
      <c r="D561" s="2197" t="s">
        <v>3303</v>
      </c>
      <c r="E561" s="2211" t="s">
        <v>3146</v>
      </c>
      <c r="F561" s="2212" t="s">
        <v>5053</v>
      </c>
      <c r="H561" s="2213">
        <v>1.2</v>
      </c>
      <c r="L561" s="2210"/>
      <c r="M561" s="2214"/>
      <c r="T561" s="2215"/>
      <c r="AT561" s="2211" t="s">
        <v>3303</v>
      </c>
      <c r="AU561" s="2211" t="s">
        <v>134</v>
      </c>
      <c r="AV561" s="2209" t="s">
        <v>134</v>
      </c>
      <c r="AW561" s="2209" t="s">
        <v>3171</v>
      </c>
      <c r="AX561" s="2209" t="s">
        <v>3213</v>
      </c>
      <c r="AY561" s="2211" t="s">
        <v>3285</v>
      </c>
    </row>
    <row r="562" spans="2:65" s="2216" customFormat="1">
      <c r="B562" s="2217"/>
      <c r="D562" s="2197" t="s">
        <v>3303</v>
      </c>
      <c r="E562" s="2218" t="s">
        <v>3146</v>
      </c>
      <c r="F562" s="2219" t="s">
        <v>3306</v>
      </c>
      <c r="H562" s="2220">
        <v>38.1</v>
      </c>
      <c r="L562" s="2217"/>
      <c r="M562" s="2221"/>
      <c r="T562" s="2222"/>
      <c r="AT562" s="2218" t="s">
        <v>3303</v>
      </c>
      <c r="AU562" s="2218" t="s">
        <v>134</v>
      </c>
      <c r="AV562" s="2216" t="s">
        <v>856</v>
      </c>
      <c r="AW562" s="2216" t="s">
        <v>3171</v>
      </c>
      <c r="AX562" s="2216" t="s">
        <v>133</v>
      </c>
      <c r="AY562" s="2218" t="s">
        <v>3285</v>
      </c>
    </row>
    <row r="563" spans="2:65" s="2070" customFormat="1" ht="24.2" customHeight="1">
      <c r="B563" s="2164"/>
      <c r="C563" s="4614" t="s">
        <v>3832</v>
      </c>
      <c r="D563" s="4614" t="s">
        <v>135</v>
      </c>
      <c r="E563" s="4615" t="s">
        <v>5054</v>
      </c>
      <c r="F563" s="4616" t="s">
        <v>5055</v>
      </c>
      <c r="G563" s="4617" t="s">
        <v>141</v>
      </c>
      <c r="H563" s="4618">
        <v>45.72</v>
      </c>
      <c r="I563" s="4619"/>
      <c r="J563" s="4619">
        <f>ROUND(I563*H563,2)</f>
        <v>0</v>
      </c>
      <c r="K563" s="4616" t="s">
        <v>3146</v>
      </c>
      <c r="L563" s="2223"/>
      <c r="M563" s="2224" t="s">
        <v>3146</v>
      </c>
      <c r="N563" s="2225" t="s">
        <v>3181</v>
      </c>
      <c r="O563" s="2191">
        <v>0</v>
      </c>
      <c r="P563" s="2191">
        <f>O563*H563</f>
        <v>0</v>
      </c>
      <c r="Q563" s="2191">
        <v>4.0000000000000002E-4</v>
      </c>
      <c r="R563" s="2191">
        <f>Q563*H563</f>
        <v>1.8287999999999999E-2</v>
      </c>
      <c r="S563" s="2191">
        <v>0</v>
      </c>
      <c r="T563" s="2192">
        <f>S563*H563</f>
        <v>0</v>
      </c>
      <c r="AR563" s="2193" t="s">
        <v>3389</v>
      </c>
      <c r="AT563" s="2193" t="s">
        <v>135</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2894</v>
      </c>
      <c r="BM563" s="2193" t="s">
        <v>5056</v>
      </c>
    </row>
    <row r="564" spans="2:65" s="2195" customFormat="1">
      <c r="B564" s="2196"/>
      <c r="D564" s="2197" t="s">
        <v>3303</v>
      </c>
      <c r="E564" s="2198" t="s">
        <v>3146</v>
      </c>
      <c r="F564" s="2199" t="s">
        <v>5050</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5051</v>
      </c>
      <c r="H565" s="2213">
        <v>36.9</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5052</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5053</v>
      </c>
      <c r="H567" s="2213">
        <v>1.2</v>
      </c>
      <c r="L567" s="2210"/>
      <c r="M567" s="2214"/>
      <c r="T567" s="2215"/>
      <c r="AT567" s="2211" t="s">
        <v>3303</v>
      </c>
      <c r="AU567" s="2211" t="s">
        <v>134</v>
      </c>
      <c r="AV567" s="2209" t="s">
        <v>134</v>
      </c>
      <c r="AW567" s="2209" t="s">
        <v>3171</v>
      </c>
      <c r="AX567" s="2209" t="s">
        <v>3213</v>
      </c>
      <c r="AY567" s="2211" t="s">
        <v>3285</v>
      </c>
    </row>
    <row r="568" spans="2:65" s="2216" customFormat="1">
      <c r="B568" s="2217"/>
      <c r="D568" s="2197" t="s">
        <v>3303</v>
      </c>
      <c r="E568" s="2218" t="s">
        <v>3146</v>
      </c>
      <c r="F568" s="2219" t="s">
        <v>3306</v>
      </c>
      <c r="H568" s="2220">
        <v>38.1</v>
      </c>
      <c r="L568" s="2217"/>
      <c r="M568" s="2221"/>
      <c r="T568" s="2222"/>
      <c r="AT568" s="2218" t="s">
        <v>3303</v>
      </c>
      <c r="AU568" s="2218" t="s">
        <v>134</v>
      </c>
      <c r="AV568" s="2216" t="s">
        <v>856</v>
      </c>
      <c r="AW568" s="2216" t="s">
        <v>3171</v>
      </c>
      <c r="AX568" s="2216" t="s">
        <v>133</v>
      </c>
      <c r="AY568" s="2218" t="s">
        <v>3285</v>
      </c>
    </row>
    <row r="569" spans="2:65" s="2209" customFormat="1">
      <c r="B569" s="2210"/>
      <c r="D569" s="2197" t="s">
        <v>3303</v>
      </c>
      <c r="F569" s="2212" t="s">
        <v>5057</v>
      </c>
      <c r="H569" s="2213">
        <v>45.72</v>
      </c>
      <c r="L569" s="2210"/>
      <c r="M569" s="2214"/>
      <c r="T569" s="2215"/>
      <c r="AT569" s="2211" t="s">
        <v>3303</v>
      </c>
      <c r="AU569" s="2211" t="s">
        <v>134</v>
      </c>
      <c r="AV569" s="2209" t="s">
        <v>134</v>
      </c>
      <c r="AW569" s="2209" t="s">
        <v>3148</v>
      </c>
      <c r="AX569" s="2209" t="s">
        <v>133</v>
      </c>
      <c r="AY569" s="2211" t="s">
        <v>3285</v>
      </c>
    </row>
    <row r="570" spans="2:65" s="2070" customFormat="1" ht="24.2" customHeight="1">
      <c r="B570" s="2164"/>
      <c r="C570" s="4608" t="s">
        <v>3837</v>
      </c>
      <c r="D570" s="4608" t="s">
        <v>3286</v>
      </c>
      <c r="E570" s="4609" t="s">
        <v>5058</v>
      </c>
      <c r="F570" s="4610" t="s">
        <v>5059</v>
      </c>
      <c r="G570" s="4611" t="s">
        <v>141</v>
      </c>
      <c r="H570" s="4612">
        <v>26</v>
      </c>
      <c r="I570" s="4613"/>
      <c r="J570" s="4613">
        <f>ROUND(I570*H570,2)</f>
        <v>0</v>
      </c>
      <c r="K570" s="4610" t="s">
        <v>142</v>
      </c>
      <c r="L570" s="2071"/>
      <c r="M570" s="2190" t="s">
        <v>3146</v>
      </c>
      <c r="N570" s="2163" t="s">
        <v>3181</v>
      </c>
      <c r="O570" s="2191">
        <v>0.216</v>
      </c>
      <c r="P570" s="2191">
        <f>O570*H570</f>
        <v>5.6159999999999997</v>
      </c>
      <c r="Q570" s="2191">
        <v>1.8799999999999999E-3</v>
      </c>
      <c r="R570" s="2191">
        <f>Q570*H570</f>
        <v>4.888E-2</v>
      </c>
      <c r="S570" s="2191">
        <v>0</v>
      </c>
      <c r="T570" s="2192">
        <f>S570*H570</f>
        <v>0</v>
      </c>
      <c r="AR570" s="2193" t="s">
        <v>2894</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2894</v>
      </c>
      <c r="BM570" s="2193" t="s">
        <v>5060</v>
      </c>
    </row>
    <row r="571" spans="2:65" s="2195" customFormat="1">
      <c r="B571" s="2196"/>
      <c r="D571" s="2197" t="s">
        <v>3303</v>
      </c>
      <c r="E571" s="2198" t="s">
        <v>3146</v>
      </c>
      <c r="F571" s="2199" t="s">
        <v>5061</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5062</v>
      </c>
      <c r="H572" s="2213">
        <v>26</v>
      </c>
      <c r="L572" s="2210"/>
      <c r="M572" s="2214"/>
      <c r="T572" s="2215"/>
      <c r="AT572" s="2211" t="s">
        <v>3303</v>
      </c>
      <c r="AU572" s="2211" t="s">
        <v>134</v>
      </c>
      <c r="AV572" s="2209" t="s">
        <v>134</v>
      </c>
      <c r="AW572" s="2209" t="s">
        <v>3171</v>
      </c>
      <c r="AX572" s="2209" t="s">
        <v>3213</v>
      </c>
      <c r="AY572" s="2211" t="s">
        <v>3285</v>
      </c>
    </row>
    <row r="573" spans="2:65" s="2216" customFormat="1">
      <c r="B573" s="2217"/>
      <c r="D573" s="2197" t="s">
        <v>3303</v>
      </c>
      <c r="E573" s="2218" t="s">
        <v>3146</v>
      </c>
      <c r="F573" s="2219" t="s">
        <v>3306</v>
      </c>
      <c r="H573" s="2220">
        <v>26</v>
      </c>
      <c r="L573" s="2217"/>
      <c r="M573" s="2221"/>
      <c r="T573" s="2222"/>
      <c r="AT573" s="2218" t="s">
        <v>3303</v>
      </c>
      <c r="AU573" s="2218" t="s">
        <v>134</v>
      </c>
      <c r="AV573" s="2216" t="s">
        <v>856</v>
      </c>
      <c r="AW573" s="2216" t="s">
        <v>3171</v>
      </c>
      <c r="AX573" s="2216" t="s">
        <v>133</v>
      </c>
      <c r="AY573" s="2218" t="s">
        <v>3285</v>
      </c>
    </row>
    <row r="574" spans="2:65" s="2070" customFormat="1" ht="16.5" customHeight="1">
      <c r="B574" s="2164"/>
      <c r="C574" s="4614" t="s">
        <v>3841</v>
      </c>
      <c r="D574" s="4614" t="s">
        <v>135</v>
      </c>
      <c r="E574" s="4615" t="s">
        <v>5063</v>
      </c>
      <c r="F574" s="4616" t="s">
        <v>5064</v>
      </c>
      <c r="G574" s="4617" t="s">
        <v>141</v>
      </c>
      <c r="H574" s="4618">
        <v>31.2</v>
      </c>
      <c r="I574" s="4619"/>
      <c r="J574" s="4619">
        <f>ROUND(I574*H574,2)</f>
        <v>0</v>
      </c>
      <c r="K574" s="4616" t="s">
        <v>3146</v>
      </c>
      <c r="L574" s="2223"/>
      <c r="M574" s="2224" t="s">
        <v>3146</v>
      </c>
      <c r="N574" s="2225" t="s">
        <v>3181</v>
      </c>
      <c r="O574" s="2191">
        <v>0</v>
      </c>
      <c r="P574" s="2191">
        <f>O574*H574</f>
        <v>0</v>
      </c>
      <c r="Q574" s="2191">
        <v>5.9999999999999995E-4</v>
      </c>
      <c r="R574" s="2191">
        <f>Q574*H574</f>
        <v>1.8719999999999997E-2</v>
      </c>
      <c r="S574" s="2191">
        <v>0</v>
      </c>
      <c r="T574" s="2192">
        <f>S574*H574</f>
        <v>0</v>
      </c>
      <c r="AR574" s="2193" t="s">
        <v>3389</v>
      </c>
      <c r="AT574" s="2193" t="s">
        <v>135</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5065</v>
      </c>
    </row>
    <row r="575" spans="2:65" s="2209" customFormat="1">
      <c r="B575" s="2210"/>
      <c r="D575" s="2197" t="s">
        <v>3303</v>
      </c>
      <c r="F575" s="2212" t="s">
        <v>5066</v>
      </c>
      <c r="H575" s="2213">
        <v>31.2</v>
      </c>
      <c r="L575" s="2210"/>
      <c r="M575" s="2214"/>
      <c r="T575" s="2215"/>
      <c r="AT575" s="2211" t="s">
        <v>3303</v>
      </c>
      <c r="AU575" s="2211" t="s">
        <v>134</v>
      </c>
      <c r="AV575" s="2209" t="s">
        <v>134</v>
      </c>
      <c r="AW575" s="2209" t="s">
        <v>3148</v>
      </c>
      <c r="AX575" s="2209" t="s">
        <v>133</v>
      </c>
      <c r="AY575" s="2211" t="s">
        <v>3285</v>
      </c>
    </row>
    <row r="576" spans="2:65" s="2070" customFormat="1" ht="24.2" customHeight="1">
      <c r="B576" s="2164"/>
      <c r="C576" s="4608" t="s">
        <v>3845</v>
      </c>
      <c r="D576" s="4608" t="s">
        <v>3286</v>
      </c>
      <c r="E576" s="4609" t="s">
        <v>5067</v>
      </c>
      <c r="F576" s="4610" t="s">
        <v>5068</v>
      </c>
      <c r="G576" s="4611" t="s">
        <v>141</v>
      </c>
      <c r="H576" s="4612">
        <v>12</v>
      </c>
      <c r="I576" s="4613"/>
      <c r="J576" s="4613">
        <f>ROUND(I576*H576,2)</f>
        <v>0</v>
      </c>
      <c r="K576" s="4610" t="s">
        <v>142</v>
      </c>
      <c r="L576" s="2071"/>
      <c r="M576" s="2190" t="s">
        <v>3146</v>
      </c>
      <c r="N576" s="2163" t="s">
        <v>3181</v>
      </c>
      <c r="O576" s="2191">
        <v>6.5000000000000002E-2</v>
      </c>
      <c r="P576" s="2191">
        <f>O576*H576</f>
        <v>0.78</v>
      </c>
      <c r="Q576" s="2191">
        <v>3.3E-4</v>
      </c>
      <c r="R576" s="2191">
        <f>Q576*H576</f>
        <v>3.96E-3</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5069</v>
      </c>
    </row>
    <row r="577" spans="2:65" s="2070" customFormat="1" ht="24.2" customHeight="1">
      <c r="B577" s="2164"/>
      <c r="C577" s="4608" t="s">
        <v>3849</v>
      </c>
      <c r="D577" s="4608" t="s">
        <v>3286</v>
      </c>
      <c r="E577" s="4609" t="s">
        <v>4430</v>
      </c>
      <c r="F577" s="4610" t="s">
        <v>4431</v>
      </c>
      <c r="G577" s="4611" t="s">
        <v>302</v>
      </c>
      <c r="H577" s="4612">
        <v>0.10299999999999999</v>
      </c>
      <c r="I577" s="4613"/>
      <c r="J577" s="4613">
        <f>ROUND(I577*H577,2)</f>
        <v>0</v>
      </c>
      <c r="K577" s="4610" t="s">
        <v>142</v>
      </c>
      <c r="L577" s="2071"/>
      <c r="M577" s="2190" t="s">
        <v>3146</v>
      </c>
      <c r="N577" s="2163" t="s">
        <v>3181</v>
      </c>
      <c r="O577" s="2191">
        <v>1.3049999999999999</v>
      </c>
      <c r="P577" s="2191">
        <f>O577*H577</f>
        <v>0.13441499999999998</v>
      </c>
      <c r="Q577" s="2191">
        <v>0</v>
      </c>
      <c r="R577" s="2191">
        <f>Q577*H577</f>
        <v>0</v>
      </c>
      <c r="S577" s="2191">
        <v>0</v>
      </c>
      <c r="T577" s="2192">
        <f>S577*H577</f>
        <v>0</v>
      </c>
      <c r="AR577" s="2193" t="s">
        <v>2894</v>
      </c>
      <c r="AT577" s="2193" t="s">
        <v>3286</v>
      </c>
      <c r="AU577" s="2193" t="s">
        <v>134</v>
      </c>
      <c r="AY577" s="2056" t="s">
        <v>3285</v>
      </c>
      <c r="BE577" s="2194">
        <f>IF(N577="základní",J577,0)</f>
        <v>0</v>
      </c>
      <c r="BF577" s="2194">
        <f>IF(N577="snížená",J577,0)</f>
        <v>0</v>
      </c>
      <c r="BG577" s="2194">
        <f>IF(N577="zákl. přenesená",J577,0)</f>
        <v>0</v>
      </c>
      <c r="BH577" s="2194">
        <f>IF(N577="sníž. přenesená",J577,0)</f>
        <v>0</v>
      </c>
      <c r="BI577" s="2194">
        <f>IF(N577="nulová",J577,0)</f>
        <v>0</v>
      </c>
      <c r="BJ577" s="2056" t="s">
        <v>134</v>
      </c>
      <c r="BK577" s="2194">
        <f>ROUND(I577*H577,2)</f>
        <v>0</v>
      </c>
      <c r="BL577" s="2056" t="s">
        <v>2894</v>
      </c>
      <c r="BM577" s="2193" t="s">
        <v>11114</v>
      </c>
    </row>
    <row r="578" spans="2:65" s="2070" customFormat="1" ht="24.2" customHeight="1">
      <c r="B578" s="2164"/>
      <c r="C578" s="4608" t="s">
        <v>3853</v>
      </c>
      <c r="D578" s="4608" t="s">
        <v>3286</v>
      </c>
      <c r="E578" s="4609" t="s">
        <v>4433</v>
      </c>
      <c r="F578" s="4610" t="s">
        <v>4434</v>
      </c>
      <c r="G578" s="4611" t="s">
        <v>302</v>
      </c>
      <c r="H578" s="4612">
        <v>0.10299999999999999</v>
      </c>
      <c r="I578" s="4613"/>
      <c r="J578" s="4613">
        <f>ROUND(I578*H578,2)</f>
        <v>0</v>
      </c>
      <c r="K578" s="4610" t="s">
        <v>142</v>
      </c>
      <c r="L578" s="2071"/>
      <c r="M578" s="2190" t="s">
        <v>3146</v>
      </c>
      <c r="N578" s="2163" t="s">
        <v>3181</v>
      </c>
      <c r="O578" s="2191">
        <v>1.1399999999999999</v>
      </c>
      <c r="P578" s="2191">
        <f>O578*H578</f>
        <v>0.11741999999999998</v>
      </c>
      <c r="Q578" s="2191">
        <v>0</v>
      </c>
      <c r="R578" s="2191">
        <f>Q578*H578</f>
        <v>0</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11115</v>
      </c>
    </row>
    <row r="579" spans="2:65" s="2178" customFormat="1" ht="22.9" customHeight="1">
      <c r="B579" s="2179"/>
      <c r="D579" s="2180" t="s">
        <v>3212</v>
      </c>
      <c r="E579" s="2188" t="s">
        <v>4036</v>
      </c>
      <c r="F579" s="2188" t="s">
        <v>4037</v>
      </c>
      <c r="J579" s="2189">
        <f>BK579</f>
        <v>0</v>
      </c>
      <c r="L579" s="2179"/>
      <c r="M579" s="2183"/>
      <c r="P579" s="2184">
        <f>SUM(P580:P739)</f>
        <v>8329.9111889999986</v>
      </c>
      <c r="R579" s="2184">
        <f>SUM(R580:R739)</f>
        <v>201.61484181</v>
      </c>
      <c r="T579" s="2185">
        <f>SUM(T580:T739)</f>
        <v>0</v>
      </c>
      <c r="AR579" s="2180" t="s">
        <v>134</v>
      </c>
      <c r="AT579" s="2186" t="s">
        <v>3212</v>
      </c>
      <c r="AU579" s="2186" t="s">
        <v>133</v>
      </c>
      <c r="AY579" s="2180" t="s">
        <v>3285</v>
      </c>
      <c r="BK579" s="2187">
        <f>SUM(BK580:BK739)</f>
        <v>0</v>
      </c>
    </row>
    <row r="580" spans="2:65" s="2070" customFormat="1" ht="24.2" customHeight="1">
      <c r="B580" s="2164"/>
      <c r="C580" s="4608" t="s">
        <v>3857</v>
      </c>
      <c r="D580" s="4608" t="s">
        <v>3286</v>
      </c>
      <c r="E580" s="4609" t="s">
        <v>11116</v>
      </c>
      <c r="F580" s="4610" t="s">
        <v>11117</v>
      </c>
      <c r="G580" s="4611" t="s">
        <v>611</v>
      </c>
      <c r="H580" s="4612">
        <v>20.704999999999998</v>
      </c>
      <c r="I580" s="4613"/>
      <c r="J580" s="4613">
        <f>ROUND(I580*H580,2)</f>
        <v>0</v>
      </c>
      <c r="K580" s="4610" t="s">
        <v>142</v>
      </c>
      <c r="L580" s="2071"/>
      <c r="M580" s="2190" t="s">
        <v>3146</v>
      </c>
      <c r="N580" s="2163" t="s">
        <v>3181</v>
      </c>
      <c r="O580" s="2191">
        <v>1.3089999999999999</v>
      </c>
      <c r="P580" s="2191">
        <f>O580*H580</f>
        <v>27.102844999999995</v>
      </c>
      <c r="Q580" s="2191">
        <v>3.236E-2</v>
      </c>
      <c r="R580" s="2191">
        <f>Q580*H580</f>
        <v>0.67001379999999999</v>
      </c>
      <c r="S580" s="2191">
        <v>0</v>
      </c>
      <c r="T580" s="2192">
        <f>S580*H580</f>
        <v>0</v>
      </c>
      <c r="AR580" s="2193" t="s">
        <v>2894</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2894</v>
      </c>
      <c r="BM580" s="2193" t="s">
        <v>11118</v>
      </c>
    </row>
    <row r="581" spans="2:65" s="2195" customFormat="1">
      <c r="B581" s="2196"/>
      <c r="D581" s="2197" t="s">
        <v>3303</v>
      </c>
      <c r="E581" s="2198" t="s">
        <v>3146</v>
      </c>
      <c r="F581" s="2199" t="s">
        <v>3517</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11119</v>
      </c>
      <c r="H582" s="2213">
        <v>10.83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3661</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11120</v>
      </c>
      <c r="H584" s="2213">
        <v>9.875</v>
      </c>
      <c r="L584" s="2210"/>
      <c r="M584" s="2214"/>
      <c r="T584" s="2215"/>
      <c r="AT584" s="2211" t="s">
        <v>3303</v>
      </c>
      <c r="AU584" s="2211" t="s">
        <v>134</v>
      </c>
      <c r="AV584" s="2209" t="s">
        <v>134</v>
      </c>
      <c r="AW584" s="2209" t="s">
        <v>3171</v>
      </c>
      <c r="AX584" s="2209" t="s">
        <v>3213</v>
      </c>
      <c r="AY584" s="2211" t="s">
        <v>3285</v>
      </c>
    </row>
    <row r="585" spans="2:65" s="2216" customFormat="1">
      <c r="B585" s="2217"/>
      <c r="D585" s="2197" t="s">
        <v>3303</v>
      </c>
      <c r="E585" s="2218" t="s">
        <v>3146</v>
      </c>
      <c r="F585" s="2219" t="s">
        <v>3306</v>
      </c>
      <c r="H585" s="2220">
        <v>20.704999999999998</v>
      </c>
      <c r="L585" s="2217"/>
      <c r="M585" s="2221"/>
      <c r="T585" s="2222"/>
      <c r="AT585" s="2218" t="s">
        <v>3303</v>
      </c>
      <c r="AU585" s="2218" t="s">
        <v>134</v>
      </c>
      <c r="AV585" s="2216" t="s">
        <v>856</v>
      </c>
      <c r="AW585" s="2216" t="s">
        <v>3171</v>
      </c>
      <c r="AX585" s="2216" t="s">
        <v>133</v>
      </c>
      <c r="AY585" s="2218" t="s">
        <v>3285</v>
      </c>
    </row>
    <row r="586" spans="2:65" s="2070" customFormat="1" ht="33" customHeight="1">
      <c r="B586" s="2164"/>
      <c r="C586" s="4608" t="s">
        <v>3861</v>
      </c>
      <c r="D586" s="4608" t="s">
        <v>3286</v>
      </c>
      <c r="E586" s="4609" t="s">
        <v>11121</v>
      </c>
      <c r="F586" s="4610" t="s">
        <v>11122</v>
      </c>
      <c r="G586" s="4611" t="s">
        <v>611</v>
      </c>
      <c r="H586" s="4612">
        <v>2.2749999999999999</v>
      </c>
      <c r="I586" s="4613"/>
      <c r="J586" s="4613">
        <f>ROUND(I586*H586,2)</f>
        <v>0</v>
      </c>
      <c r="K586" s="4610" t="s">
        <v>142</v>
      </c>
      <c r="L586" s="2071"/>
      <c r="M586" s="2190" t="s">
        <v>3146</v>
      </c>
      <c r="N586" s="2163" t="s">
        <v>3181</v>
      </c>
      <c r="O586" s="2191">
        <v>1.3089999999999999</v>
      </c>
      <c r="P586" s="2191">
        <f>O586*H586</f>
        <v>2.9779749999999998</v>
      </c>
      <c r="Q586" s="2191">
        <v>3.4169999999999999E-2</v>
      </c>
      <c r="R586" s="2191">
        <f>Q586*H586</f>
        <v>7.7736749999999993E-2</v>
      </c>
      <c r="S586" s="2191">
        <v>0</v>
      </c>
      <c r="T586" s="2192">
        <f>S586*H586</f>
        <v>0</v>
      </c>
      <c r="AR586" s="2193" t="s">
        <v>2894</v>
      </c>
      <c r="AT586" s="2193" t="s">
        <v>3286</v>
      </c>
      <c r="AU586" s="2193" t="s">
        <v>134</v>
      </c>
      <c r="AY586" s="2056" t="s">
        <v>3285</v>
      </c>
      <c r="BE586" s="2194">
        <f>IF(N586="základní",J586,0)</f>
        <v>0</v>
      </c>
      <c r="BF586" s="2194">
        <f>IF(N586="snížená",J586,0)</f>
        <v>0</v>
      </c>
      <c r="BG586" s="2194">
        <f>IF(N586="zákl. přenesená",J586,0)</f>
        <v>0</v>
      </c>
      <c r="BH586" s="2194">
        <f>IF(N586="sníž. přenesená",J586,0)</f>
        <v>0</v>
      </c>
      <c r="BI586" s="2194">
        <f>IF(N586="nulová",J586,0)</f>
        <v>0</v>
      </c>
      <c r="BJ586" s="2056" t="s">
        <v>134</v>
      </c>
      <c r="BK586" s="2194">
        <f>ROUND(I586*H586,2)</f>
        <v>0</v>
      </c>
      <c r="BL586" s="2056" t="s">
        <v>2894</v>
      </c>
      <c r="BM586" s="2193" t="s">
        <v>11123</v>
      </c>
    </row>
    <row r="587" spans="2:65" s="2195" customFormat="1">
      <c r="B587" s="2196"/>
      <c r="D587" s="2197" t="s">
        <v>3303</v>
      </c>
      <c r="E587" s="2198" t="s">
        <v>3146</v>
      </c>
      <c r="F587" s="2199" t="s">
        <v>3661</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11124</v>
      </c>
      <c r="H588" s="2213">
        <v>2.2749999999999999</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2.2749999999999999</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t="s">
        <v>3865</v>
      </c>
      <c r="D590" s="4608" t="s">
        <v>3286</v>
      </c>
      <c r="E590" s="4609" t="s">
        <v>11125</v>
      </c>
      <c r="F590" s="4610" t="s">
        <v>11126</v>
      </c>
      <c r="G590" s="4611" t="s">
        <v>611</v>
      </c>
      <c r="H590" s="4612">
        <v>27.088000000000001</v>
      </c>
      <c r="I590" s="4613"/>
      <c r="J590" s="4613">
        <f>ROUND(I590*H590,2)</f>
        <v>0</v>
      </c>
      <c r="K590" s="4610" t="s">
        <v>142</v>
      </c>
      <c r="L590" s="2071"/>
      <c r="M590" s="2190" t="s">
        <v>3146</v>
      </c>
      <c r="N590" s="2163" t="s">
        <v>3181</v>
      </c>
      <c r="O590" s="2191">
        <v>1.296</v>
      </c>
      <c r="P590" s="2191">
        <f>O590*H590</f>
        <v>35.106048000000001</v>
      </c>
      <c r="Q590" s="2191">
        <v>4.428E-2</v>
      </c>
      <c r="R590" s="2191">
        <f>Q590*H590</f>
        <v>1.19945664</v>
      </c>
      <c r="S590" s="2191">
        <v>0</v>
      </c>
      <c r="T590" s="2192">
        <f>S590*H590</f>
        <v>0</v>
      </c>
      <c r="AR590" s="2193" t="s">
        <v>2894</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2894</v>
      </c>
      <c r="BM590" s="2193" t="s">
        <v>11127</v>
      </c>
    </row>
    <row r="591" spans="2:65" s="2195" customFormat="1">
      <c r="B591" s="2196"/>
      <c r="D591" s="2197" t="s">
        <v>3303</v>
      </c>
      <c r="E591" s="2198" t="s">
        <v>3146</v>
      </c>
      <c r="F591" s="2199" t="s">
        <v>11128</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11129</v>
      </c>
      <c r="H592" s="2213">
        <v>5.9749999999999996</v>
      </c>
      <c r="L592" s="2210"/>
      <c r="M592" s="2214"/>
      <c r="T592" s="2215"/>
      <c r="AT592" s="2211" t="s">
        <v>3303</v>
      </c>
      <c r="AU592" s="2211" t="s">
        <v>134</v>
      </c>
      <c r="AV592" s="2209" t="s">
        <v>134</v>
      </c>
      <c r="AW592" s="2209" t="s">
        <v>3171</v>
      </c>
      <c r="AX592" s="2209" t="s">
        <v>3213</v>
      </c>
      <c r="AY592" s="2211" t="s">
        <v>3285</v>
      </c>
    </row>
    <row r="593" spans="2:65" s="2209" customFormat="1">
      <c r="B593" s="2210"/>
      <c r="D593" s="2197" t="s">
        <v>3303</v>
      </c>
      <c r="E593" s="2211" t="s">
        <v>3146</v>
      </c>
      <c r="F593" s="2212" t="s">
        <v>11130</v>
      </c>
      <c r="H593" s="2213">
        <v>8.8729999999999993</v>
      </c>
      <c r="L593" s="2210"/>
      <c r="M593" s="2214"/>
      <c r="T593" s="2215"/>
      <c r="AT593" s="2211" t="s">
        <v>3303</v>
      </c>
      <c r="AU593" s="2211" t="s">
        <v>134</v>
      </c>
      <c r="AV593" s="2209" t="s">
        <v>134</v>
      </c>
      <c r="AW593" s="2209" t="s">
        <v>3171</v>
      </c>
      <c r="AX593" s="2209" t="s">
        <v>3213</v>
      </c>
      <c r="AY593" s="2211" t="s">
        <v>3285</v>
      </c>
    </row>
    <row r="594" spans="2:65" s="2202" customFormat="1">
      <c r="B594" s="2203"/>
      <c r="D594" s="2197" t="s">
        <v>3303</v>
      </c>
      <c r="E594" s="2204" t="s">
        <v>3146</v>
      </c>
      <c r="F594" s="2205" t="s">
        <v>3305</v>
      </c>
      <c r="H594" s="2206">
        <v>14.848000000000001</v>
      </c>
      <c r="L594" s="2203"/>
      <c r="M594" s="2207"/>
      <c r="T594" s="2208"/>
      <c r="AT594" s="2204" t="s">
        <v>3303</v>
      </c>
      <c r="AU594" s="2204" t="s">
        <v>134</v>
      </c>
      <c r="AV594" s="2202" t="s">
        <v>854</v>
      </c>
      <c r="AW594" s="2202" t="s">
        <v>3171</v>
      </c>
      <c r="AX594" s="2202" t="s">
        <v>3213</v>
      </c>
      <c r="AY594" s="2204" t="s">
        <v>3285</v>
      </c>
    </row>
    <row r="595" spans="2:65" s="2195" customFormat="1">
      <c r="B595" s="2196"/>
      <c r="D595" s="2197" t="s">
        <v>3303</v>
      </c>
      <c r="E595" s="2198" t="s">
        <v>3146</v>
      </c>
      <c r="F595" s="2199" t="s">
        <v>3580</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11131</v>
      </c>
      <c r="H596" s="2213">
        <v>12.24</v>
      </c>
      <c r="L596" s="2210"/>
      <c r="M596" s="2214"/>
      <c r="T596" s="2215"/>
      <c r="AT596" s="2211" t="s">
        <v>3303</v>
      </c>
      <c r="AU596" s="2211" t="s">
        <v>134</v>
      </c>
      <c r="AV596" s="2209" t="s">
        <v>134</v>
      </c>
      <c r="AW596" s="2209" t="s">
        <v>3171</v>
      </c>
      <c r="AX596" s="2209" t="s">
        <v>3213</v>
      </c>
      <c r="AY596" s="2211" t="s">
        <v>3285</v>
      </c>
    </row>
    <row r="597" spans="2:65" s="2202" customFormat="1">
      <c r="B597" s="2203"/>
      <c r="D597" s="2197" t="s">
        <v>3303</v>
      </c>
      <c r="E597" s="2204" t="s">
        <v>3146</v>
      </c>
      <c r="F597" s="2205" t="s">
        <v>3305</v>
      </c>
      <c r="H597" s="2206">
        <v>12.24</v>
      </c>
      <c r="L597" s="2203"/>
      <c r="M597" s="2207"/>
      <c r="T597" s="2208"/>
      <c r="AT597" s="2204" t="s">
        <v>3303</v>
      </c>
      <c r="AU597" s="2204" t="s">
        <v>134</v>
      </c>
      <c r="AV597" s="2202" t="s">
        <v>854</v>
      </c>
      <c r="AW597" s="2202" t="s">
        <v>3171</v>
      </c>
      <c r="AX597" s="2202" t="s">
        <v>3213</v>
      </c>
      <c r="AY597" s="2204" t="s">
        <v>3285</v>
      </c>
    </row>
    <row r="598" spans="2:65" s="2216" customFormat="1">
      <c r="B598" s="2217"/>
      <c r="D598" s="2197" t="s">
        <v>3303</v>
      </c>
      <c r="E598" s="2218" t="s">
        <v>3146</v>
      </c>
      <c r="F598" s="2219" t="s">
        <v>3306</v>
      </c>
      <c r="H598" s="2220">
        <v>27.088000000000001</v>
      </c>
      <c r="L598" s="2217"/>
      <c r="M598" s="2221"/>
      <c r="T598" s="2222"/>
      <c r="AT598" s="2218" t="s">
        <v>3303</v>
      </c>
      <c r="AU598" s="2218" t="s">
        <v>134</v>
      </c>
      <c r="AV598" s="2216" t="s">
        <v>856</v>
      </c>
      <c r="AW598" s="2216" t="s">
        <v>3171</v>
      </c>
      <c r="AX598" s="2216" t="s">
        <v>133</v>
      </c>
      <c r="AY598" s="2218" t="s">
        <v>3285</v>
      </c>
    </row>
    <row r="599" spans="2:65" s="2070" customFormat="1" ht="21.75" customHeight="1">
      <c r="B599" s="2164"/>
      <c r="C599" s="4608" t="s">
        <v>3869</v>
      </c>
      <c r="D599" s="4608" t="s">
        <v>3286</v>
      </c>
      <c r="E599" s="4609" t="s">
        <v>11132</v>
      </c>
      <c r="F599" s="4610" t="s">
        <v>11133</v>
      </c>
      <c r="G599" s="4611" t="s">
        <v>611</v>
      </c>
      <c r="H599" s="4612">
        <v>19.324999999999999</v>
      </c>
      <c r="I599" s="4613"/>
      <c r="J599" s="4613">
        <f>ROUND(I599*H599,2)</f>
        <v>0</v>
      </c>
      <c r="K599" s="4610" t="s">
        <v>142</v>
      </c>
      <c r="L599" s="2071"/>
      <c r="M599" s="2190" t="s">
        <v>3146</v>
      </c>
      <c r="N599" s="2163" t="s">
        <v>3181</v>
      </c>
      <c r="O599" s="2191">
        <v>0.08</v>
      </c>
      <c r="P599" s="2191">
        <f>O599*H599</f>
        <v>1.546</v>
      </c>
      <c r="Q599" s="2191">
        <v>0</v>
      </c>
      <c r="R599" s="2191">
        <f>Q599*H599</f>
        <v>0</v>
      </c>
      <c r="S599" s="2191">
        <v>0</v>
      </c>
      <c r="T599" s="2192">
        <f>S599*H599</f>
        <v>0</v>
      </c>
      <c r="AR599" s="2193" t="s">
        <v>2894</v>
      </c>
      <c r="AT599" s="2193" t="s">
        <v>3286</v>
      </c>
      <c r="AU599" s="2193" t="s">
        <v>134</v>
      </c>
      <c r="AY599" s="2056" t="s">
        <v>3285</v>
      </c>
      <c r="BE599" s="2194">
        <f>IF(N599="základní",J599,0)</f>
        <v>0</v>
      </c>
      <c r="BF599" s="2194">
        <f>IF(N599="snížená",J599,0)</f>
        <v>0</v>
      </c>
      <c r="BG599" s="2194">
        <f>IF(N599="zákl. přenesená",J599,0)</f>
        <v>0</v>
      </c>
      <c r="BH599" s="2194">
        <f>IF(N599="sníž. přenesená",J599,0)</f>
        <v>0</v>
      </c>
      <c r="BI599" s="2194">
        <f>IF(N599="nulová",J599,0)</f>
        <v>0</v>
      </c>
      <c r="BJ599" s="2056" t="s">
        <v>134</v>
      </c>
      <c r="BK599" s="2194">
        <f>ROUND(I599*H599,2)</f>
        <v>0</v>
      </c>
      <c r="BL599" s="2056" t="s">
        <v>2894</v>
      </c>
      <c r="BM599" s="2193" t="s">
        <v>11134</v>
      </c>
    </row>
    <row r="600" spans="2:65" s="2195" customFormat="1">
      <c r="B600" s="2196"/>
      <c r="D600" s="2197" t="s">
        <v>3303</v>
      </c>
      <c r="E600" s="2198" t="s">
        <v>3146</v>
      </c>
      <c r="F600" s="2199" t="s">
        <v>11135</v>
      </c>
      <c r="H600" s="2198" t="s">
        <v>3146</v>
      </c>
      <c r="L600" s="2196"/>
      <c r="M600" s="2200"/>
      <c r="T600" s="2201"/>
      <c r="AT600" s="2198" t="s">
        <v>3303</v>
      </c>
      <c r="AU600" s="2198" t="s">
        <v>134</v>
      </c>
      <c r="AV600" s="2195" t="s">
        <v>133</v>
      </c>
      <c r="AW600" s="2195" t="s">
        <v>3171</v>
      </c>
      <c r="AX600" s="2195" t="s">
        <v>3213</v>
      </c>
      <c r="AY600" s="2198" t="s">
        <v>3285</v>
      </c>
    </row>
    <row r="601" spans="2:65" s="2209" customFormat="1">
      <c r="B601" s="2210"/>
      <c r="D601" s="2197" t="s">
        <v>3303</v>
      </c>
      <c r="E601" s="2211" t="s">
        <v>3146</v>
      </c>
      <c r="F601" s="2212" t="s">
        <v>11136</v>
      </c>
      <c r="H601" s="2213">
        <v>4.1749999999999998</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11137</v>
      </c>
      <c r="H602" s="2213">
        <v>8.9</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11138</v>
      </c>
      <c r="H603" s="2213">
        <v>5</v>
      </c>
      <c r="L603" s="2210"/>
      <c r="M603" s="2214"/>
      <c r="T603" s="2215"/>
      <c r="AT603" s="2211" t="s">
        <v>3303</v>
      </c>
      <c r="AU603" s="2211" t="s">
        <v>134</v>
      </c>
      <c r="AV603" s="2209" t="s">
        <v>134</v>
      </c>
      <c r="AW603" s="2209" t="s">
        <v>3171</v>
      </c>
      <c r="AX603" s="2209" t="s">
        <v>3213</v>
      </c>
      <c r="AY603" s="2211" t="s">
        <v>3285</v>
      </c>
    </row>
    <row r="604" spans="2:65" s="2209" customFormat="1">
      <c r="B604" s="2210"/>
      <c r="D604" s="2197" t="s">
        <v>3303</v>
      </c>
      <c r="E604" s="2211" t="s">
        <v>3146</v>
      </c>
      <c r="F604" s="2212" t="s">
        <v>11139</v>
      </c>
      <c r="H604" s="2213">
        <v>1.25</v>
      </c>
      <c r="L604" s="2210"/>
      <c r="M604" s="2214"/>
      <c r="T604" s="2215"/>
      <c r="AT604" s="2211" t="s">
        <v>3303</v>
      </c>
      <c r="AU604" s="2211" t="s">
        <v>134</v>
      </c>
      <c r="AV604" s="2209" t="s">
        <v>134</v>
      </c>
      <c r="AW604" s="2209" t="s">
        <v>3171</v>
      </c>
      <c r="AX604" s="2209" t="s">
        <v>3213</v>
      </c>
      <c r="AY604" s="2211" t="s">
        <v>3285</v>
      </c>
    </row>
    <row r="605" spans="2:65" s="2216" customFormat="1">
      <c r="B605" s="2217"/>
      <c r="D605" s="2197" t="s">
        <v>3303</v>
      </c>
      <c r="E605" s="2218" t="s">
        <v>3146</v>
      </c>
      <c r="F605" s="2219" t="s">
        <v>3306</v>
      </c>
      <c r="H605" s="2220">
        <v>19.324999999999999</v>
      </c>
      <c r="L605" s="2217"/>
      <c r="M605" s="2221"/>
      <c r="T605" s="2222"/>
      <c r="AT605" s="2218" t="s">
        <v>3303</v>
      </c>
      <c r="AU605" s="2218" t="s">
        <v>134</v>
      </c>
      <c r="AV605" s="2216" t="s">
        <v>856</v>
      </c>
      <c r="AW605" s="2216" t="s">
        <v>3171</v>
      </c>
      <c r="AX605" s="2216" t="s">
        <v>133</v>
      </c>
      <c r="AY605" s="2218" t="s">
        <v>3285</v>
      </c>
    </row>
    <row r="606" spans="2:65" s="2070" customFormat="1" ht="24.2" customHeight="1">
      <c r="B606" s="2164"/>
      <c r="C606" s="4614" t="s">
        <v>3873</v>
      </c>
      <c r="D606" s="4614" t="s">
        <v>135</v>
      </c>
      <c r="E606" s="4615" t="s">
        <v>10977</v>
      </c>
      <c r="F606" s="4616" t="s">
        <v>10978</v>
      </c>
      <c r="G606" s="4617" t="s">
        <v>611</v>
      </c>
      <c r="H606" s="4618">
        <v>20.291</v>
      </c>
      <c r="I606" s="4619"/>
      <c r="J606" s="4619">
        <f>ROUND(I606*H606,2)</f>
        <v>0</v>
      </c>
      <c r="K606" s="4616" t="s">
        <v>142</v>
      </c>
      <c r="L606" s="2223"/>
      <c r="M606" s="2224" t="s">
        <v>3146</v>
      </c>
      <c r="N606" s="2225" t="s">
        <v>3181</v>
      </c>
      <c r="O606" s="2191">
        <v>0</v>
      </c>
      <c r="P606" s="2191">
        <f>O606*H606</f>
        <v>0</v>
      </c>
      <c r="Q606" s="2191">
        <v>3.0000000000000001E-3</v>
      </c>
      <c r="R606" s="2191">
        <f>Q606*H606</f>
        <v>6.0873000000000003E-2</v>
      </c>
      <c r="S606" s="2191">
        <v>0</v>
      </c>
      <c r="T606" s="2192">
        <f>S606*H606</f>
        <v>0</v>
      </c>
      <c r="AR606" s="2193" t="s">
        <v>3389</v>
      </c>
      <c r="AT606" s="2193" t="s">
        <v>135</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11140</v>
      </c>
    </row>
    <row r="607" spans="2:65" s="2209" customFormat="1">
      <c r="B607" s="2210"/>
      <c r="D607" s="2197" t="s">
        <v>3303</v>
      </c>
      <c r="F607" s="2212" t="s">
        <v>11141</v>
      </c>
      <c r="H607" s="2213">
        <v>20.291</v>
      </c>
      <c r="L607" s="2210"/>
      <c r="M607" s="2214"/>
      <c r="T607" s="2215"/>
      <c r="AT607" s="2211" t="s">
        <v>3303</v>
      </c>
      <c r="AU607" s="2211" t="s">
        <v>134</v>
      </c>
      <c r="AV607" s="2209" t="s">
        <v>134</v>
      </c>
      <c r="AW607" s="2209" t="s">
        <v>3148</v>
      </c>
      <c r="AX607" s="2209" t="s">
        <v>133</v>
      </c>
      <c r="AY607" s="2211" t="s">
        <v>3285</v>
      </c>
    </row>
    <row r="608" spans="2:65" s="2070" customFormat="1" ht="16.5" customHeight="1">
      <c r="B608" s="2164"/>
      <c r="C608" s="4608" t="s">
        <v>3877</v>
      </c>
      <c r="D608" s="4608" t="s">
        <v>3286</v>
      </c>
      <c r="E608" s="4609" t="s">
        <v>11142</v>
      </c>
      <c r="F608" s="4610" t="s">
        <v>11143</v>
      </c>
      <c r="G608" s="4611" t="s">
        <v>611</v>
      </c>
      <c r="H608" s="4612">
        <v>100.8</v>
      </c>
      <c r="I608" s="4613"/>
      <c r="J608" s="4613">
        <f>ROUND(I608*H608,2)</f>
        <v>0</v>
      </c>
      <c r="K608" s="4610" t="s">
        <v>142</v>
      </c>
      <c r="L608" s="2071"/>
      <c r="M608" s="2190" t="s">
        <v>3146</v>
      </c>
      <c r="N608" s="2163" t="s">
        <v>3181</v>
      </c>
      <c r="O608" s="2191">
        <v>0.7</v>
      </c>
      <c r="P608" s="2191">
        <f>O608*H608</f>
        <v>70.559999999999988</v>
      </c>
      <c r="Q608" s="2191">
        <v>3.2000000000000002E-3</v>
      </c>
      <c r="R608" s="2191">
        <f>Q608*H608</f>
        <v>0.32256000000000001</v>
      </c>
      <c r="S608" s="2191">
        <v>0</v>
      </c>
      <c r="T608" s="2192">
        <f>S608*H608</f>
        <v>0</v>
      </c>
      <c r="AR608" s="2193" t="s">
        <v>2894</v>
      </c>
      <c r="AT608" s="2193" t="s">
        <v>3286</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2894</v>
      </c>
      <c r="BM608" s="2193" t="s">
        <v>11144</v>
      </c>
    </row>
    <row r="609" spans="2:65" s="2070" customFormat="1" ht="37.9" customHeight="1">
      <c r="B609" s="2164"/>
      <c r="C609" s="4608" t="s">
        <v>3881</v>
      </c>
      <c r="D609" s="4608" t="s">
        <v>3286</v>
      </c>
      <c r="E609" s="4609" t="s">
        <v>11145</v>
      </c>
      <c r="F609" s="4610" t="s">
        <v>11146</v>
      </c>
      <c r="G609" s="4611" t="s">
        <v>611</v>
      </c>
      <c r="H609" s="4612">
        <v>633.66099999999994</v>
      </c>
      <c r="I609" s="4613"/>
      <c r="J609" s="4613">
        <f>ROUND(I609*H609,2)</f>
        <v>0</v>
      </c>
      <c r="K609" s="4610" t="s">
        <v>142</v>
      </c>
      <c r="L609" s="2071"/>
      <c r="M609" s="2190" t="s">
        <v>3146</v>
      </c>
      <c r="N609" s="2163" t="s">
        <v>3181</v>
      </c>
      <c r="O609" s="2191">
        <v>2.1840000000000002</v>
      </c>
      <c r="P609" s="2191">
        <f>O609*H609</f>
        <v>1383.915624</v>
      </c>
      <c r="Q609" s="2191">
        <v>6.1550000000000001E-2</v>
      </c>
      <c r="R609" s="2191">
        <f>Q609*H609</f>
        <v>39.001834549999998</v>
      </c>
      <c r="S609" s="2191">
        <v>0</v>
      </c>
      <c r="T609" s="2192">
        <f>S609*H609</f>
        <v>0</v>
      </c>
      <c r="AR609" s="2193" t="s">
        <v>2894</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2894</v>
      </c>
      <c r="BM609" s="2193" t="s">
        <v>11147</v>
      </c>
    </row>
    <row r="610" spans="2:65" s="2195" customFormat="1">
      <c r="B610" s="2196"/>
      <c r="D610" s="2197" t="s">
        <v>3303</v>
      </c>
      <c r="E610" s="2198" t="s">
        <v>3146</v>
      </c>
      <c r="F610" s="2199" t="s">
        <v>3578</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11148</v>
      </c>
      <c r="H611" s="2213">
        <v>633.66099999999994</v>
      </c>
      <c r="L611" s="2210"/>
      <c r="M611" s="2214"/>
      <c r="T611" s="2215"/>
      <c r="AT611" s="2211" t="s">
        <v>3303</v>
      </c>
      <c r="AU611" s="2211" t="s">
        <v>134</v>
      </c>
      <c r="AV611" s="2209" t="s">
        <v>134</v>
      </c>
      <c r="AW611" s="2209" t="s">
        <v>3171</v>
      </c>
      <c r="AX611" s="2209" t="s">
        <v>3213</v>
      </c>
      <c r="AY611" s="2211" t="s">
        <v>3285</v>
      </c>
    </row>
    <row r="612" spans="2:65" s="2216" customFormat="1">
      <c r="B612" s="2217"/>
      <c r="D612" s="2197" t="s">
        <v>3303</v>
      </c>
      <c r="E612" s="2218" t="s">
        <v>3146</v>
      </c>
      <c r="F612" s="2219" t="s">
        <v>3306</v>
      </c>
      <c r="H612" s="2220">
        <v>633.66099999999994</v>
      </c>
      <c r="L612" s="2217"/>
      <c r="M612" s="2221"/>
      <c r="T612" s="2222"/>
      <c r="AT612" s="2218" t="s">
        <v>3303</v>
      </c>
      <c r="AU612" s="2218" t="s">
        <v>134</v>
      </c>
      <c r="AV612" s="2216" t="s">
        <v>856</v>
      </c>
      <c r="AW612" s="2216" t="s">
        <v>3171</v>
      </c>
      <c r="AX612" s="2216" t="s">
        <v>133</v>
      </c>
      <c r="AY612" s="2218" t="s">
        <v>3285</v>
      </c>
    </row>
    <row r="613" spans="2:65" s="2070" customFormat="1" ht="44.25" customHeight="1">
      <c r="B613" s="2164"/>
      <c r="C613" s="4608" t="s">
        <v>3885</v>
      </c>
      <c r="D613" s="4608" t="s">
        <v>3286</v>
      </c>
      <c r="E613" s="4609" t="s">
        <v>11149</v>
      </c>
      <c r="F613" s="4610" t="s">
        <v>11150</v>
      </c>
      <c r="G613" s="4611" t="s">
        <v>611</v>
      </c>
      <c r="H613" s="4612">
        <v>210.00800000000001</v>
      </c>
      <c r="I613" s="4613"/>
      <c r="J613" s="4613">
        <f>ROUND(I613*H613,2)</f>
        <v>0</v>
      </c>
      <c r="K613" s="4610" t="s">
        <v>142</v>
      </c>
      <c r="L613" s="2071"/>
      <c r="M613" s="2190" t="s">
        <v>3146</v>
      </c>
      <c r="N613" s="2163" t="s">
        <v>3181</v>
      </c>
      <c r="O613" s="2191">
        <v>2.1840000000000002</v>
      </c>
      <c r="P613" s="2191">
        <f>O613*H613</f>
        <v>458.65747200000004</v>
      </c>
      <c r="Q613" s="2191">
        <v>6.1929999999999999E-2</v>
      </c>
      <c r="R613" s="2191">
        <f>Q613*H613</f>
        <v>13.00579544</v>
      </c>
      <c r="S613" s="2191">
        <v>0</v>
      </c>
      <c r="T613" s="2192">
        <f>S613*H613</f>
        <v>0</v>
      </c>
      <c r="AR613" s="2193" t="s">
        <v>2894</v>
      </c>
      <c r="AT613" s="2193" t="s">
        <v>3286</v>
      </c>
      <c r="AU613" s="2193" t="s">
        <v>134</v>
      </c>
      <c r="AY613" s="2056" t="s">
        <v>3285</v>
      </c>
      <c r="BE613" s="2194">
        <f>IF(N613="základní",J613,0)</f>
        <v>0</v>
      </c>
      <c r="BF613" s="2194">
        <f>IF(N613="snížená",J613,0)</f>
        <v>0</v>
      </c>
      <c r="BG613" s="2194">
        <f>IF(N613="zákl. přenesená",J613,0)</f>
        <v>0</v>
      </c>
      <c r="BH613" s="2194">
        <f>IF(N613="sníž. přenesená",J613,0)</f>
        <v>0</v>
      </c>
      <c r="BI613" s="2194">
        <f>IF(N613="nulová",J613,0)</f>
        <v>0</v>
      </c>
      <c r="BJ613" s="2056" t="s">
        <v>134</v>
      </c>
      <c r="BK613" s="2194">
        <f>ROUND(I613*H613,2)</f>
        <v>0</v>
      </c>
      <c r="BL613" s="2056" t="s">
        <v>2894</v>
      </c>
      <c r="BM613" s="2193" t="s">
        <v>11151</v>
      </c>
    </row>
    <row r="614" spans="2:65" s="2195" customFormat="1">
      <c r="B614" s="2196"/>
      <c r="D614" s="2197" t="s">
        <v>3303</v>
      </c>
      <c r="E614" s="2198" t="s">
        <v>3146</v>
      </c>
      <c r="F614" s="2199" t="s">
        <v>3517</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11152</v>
      </c>
      <c r="H615" s="2213">
        <v>30.97</v>
      </c>
      <c r="L615" s="2210"/>
      <c r="M615" s="2214"/>
      <c r="T615" s="2215"/>
      <c r="AT615" s="2211" t="s">
        <v>3303</v>
      </c>
      <c r="AU615" s="2211" t="s">
        <v>134</v>
      </c>
      <c r="AV615" s="2209" t="s">
        <v>134</v>
      </c>
      <c r="AW615" s="2209" t="s">
        <v>3171</v>
      </c>
      <c r="AX615" s="2209" t="s">
        <v>3213</v>
      </c>
      <c r="AY615" s="2211" t="s">
        <v>3285</v>
      </c>
    </row>
    <row r="616" spans="2:65" s="2195" customFormat="1">
      <c r="B616" s="2196"/>
      <c r="D616" s="2197" t="s">
        <v>3303</v>
      </c>
      <c r="E616" s="2198" t="s">
        <v>3146</v>
      </c>
      <c r="F616" s="2199" t="s">
        <v>3661</v>
      </c>
      <c r="H616" s="2198" t="s">
        <v>3146</v>
      </c>
      <c r="L616" s="2196"/>
      <c r="M616" s="2200"/>
      <c r="T616" s="2201"/>
      <c r="AT616" s="2198" t="s">
        <v>3303</v>
      </c>
      <c r="AU616" s="2198" t="s">
        <v>134</v>
      </c>
      <c r="AV616" s="2195" t="s">
        <v>133</v>
      </c>
      <c r="AW616" s="2195" t="s">
        <v>3171</v>
      </c>
      <c r="AX616" s="2195" t="s">
        <v>3213</v>
      </c>
      <c r="AY616" s="2198" t="s">
        <v>3285</v>
      </c>
    </row>
    <row r="617" spans="2:65" s="2209" customFormat="1">
      <c r="B617" s="2210"/>
      <c r="D617" s="2197" t="s">
        <v>3303</v>
      </c>
      <c r="E617" s="2211" t="s">
        <v>3146</v>
      </c>
      <c r="F617" s="2212" t="s">
        <v>11153</v>
      </c>
      <c r="H617" s="2213">
        <v>45.582000000000001</v>
      </c>
      <c r="L617" s="2210"/>
      <c r="M617" s="2214"/>
      <c r="T617" s="2215"/>
      <c r="AT617" s="2211" t="s">
        <v>3303</v>
      </c>
      <c r="AU617" s="2211" t="s">
        <v>134</v>
      </c>
      <c r="AV617" s="2209" t="s">
        <v>134</v>
      </c>
      <c r="AW617" s="2209" t="s">
        <v>3171</v>
      </c>
      <c r="AX617" s="2209" t="s">
        <v>3213</v>
      </c>
      <c r="AY617" s="2211" t="s">
        <v>3285</v>
      </c>
    </row>
    <row r="618" spans="2:65" s="2209" customFormat="1">
      <c r="B618" s="2210"/>
      <c r="D618" s="2197" t="s">
        <v>3303</v>
      </c>
      <c r="E618" s="2211" t="s">
        <v>3146</v>
      </c>
      <c r="F618" s="2212" t="s">
        <v>11154</v>
      </c>
      <c r="H618" s="2213">
        <v>36.139000000000003</v>
      </c>
      <c r="L618" s="2210"/>
      <c r="M618" s="2214"/>
      <c r="T618" s="2215"/>
      <c r="AT618" s="2211" t="s">
        <v>3303</v>
      </c>
      <c r="AU618" s="2211" t="s">
        <v>134</v>
      </c>
      <c r="AV618" s="2209" t="s">
        <v>134</v>
      </c>
      <c r="AW618" s="2209" t="s">
        <v>3171</v>
      </c>
      <c r="AX618" s="2209" t="s">
        <v>3213</v>
      </c>
      <c r="AY618" s="2211" t="s">
        <v>3285</v>
      </c>
    </row>
    <row r="619" spans="2:65" s="2195" customFormat="1">
      <c r="B619" s="2196"/>
      <c r="D619" s="2197" t="s">
        <v>3303</v>
      </c>
      <c r="E619" s="2198" t="s">
        <v>3146</v>
      </c>
      <c r="F619" s="2199" t="s">
        <v>3580</v>
      </c>
      <c r="H619" s="2198" t="s">
        <v>3146</v>
      </c>
      <c r="L619" s="2196"/>
      <c r="M619" s="2200"/>
      <c r="T619" s="2201"/>
      <c r="AT619" s="2198" t="s">
        <v>3303</v>
      </c>
      <c r="AU619" s="2198" t="s">
        <v>134</v>
      </c>
      <c r="AV619" s="2195" t="s">
        <v>133</v>
      </c>
      <c r="AW619" s="2195" t="s">
        <v>3171</v>
      </c>
      <c r="AX619" s="2195" t="s">
        <v>3213</v>
      </c>
      <c r="AY619" s="2198" t="s">
        <v>3285</v>
      </c>
    </row>
    <row r="620" spans="2:65" s="2209" customFormat="1">
      <c r="B620" s="2210"/>
      <c r="D620" s="2197" t="s">
        <v>3303</v>
      </c>
      <c r="E620" s="2211" t="s">
        <v>3146</v>
      </c>
      <c r="F620" s="2212" t="s">
        <v>11155</v>
      </c>
      <c r="H620" s="2213">
        <v>97.316999999999993</v>
      </c>
      <c r="L620" s="2210"/>
      <c r="M620" s="2214"/>
      <c r="T620" s="2215"/>
      <c r="AT620" s="2211" t="s">
        <v>3303</v>
      </c>
      <c r="AU620" s="2211" t="s">
        <v>134</v>
      </c>
      <c r="AV620" s="2209" t="s">
        <v>134</v>
      </c>
      <c r="AW620" s="2209" t="s">
        <v>3171</v>
      </c>
      <c r="AX620" s="2209" t="s">
        <v>3213</v>
      </c>
      <c r="AY620" s="2211" t="s">
        <v>3285</v>
      </c>
    </row>
    <row r="621" spans="2:65" s="2202" customFormat="1">
      <c r="B621" s="2203"/>
      <c r="D621" s="2197" t="s">
        <v>3303</v>
      </c>
      <c r="E621" s="2204" t="s">
        <v>3146</v>
      </c>
      <c r="F621" s="2205" t="s">
        <v>3305</v>
      </c>
      <c r="H621" s="2206">
        <v>210.00800000000001</v>
      </c>
      <c r="L621" s="2203"/>
      <c r="M621" s="2207"/>
      <c r="T621" s="2208"/>
      <c r="AT621" s="2204" t="s">
        <v>3303</v>
      </c>
      <c r="AU621" s="2204" t="s">
        <v>134</v>
      </c>
      <c r="AV621" s="2202" t="s">
        <v>854</v>
      </c>
      <c r="AW621" s="2202" t="s">
        <v>3171</v>
      </c>
      <c r="AX621" s="2202" t="s">
        <v>133</v>
      </c>
      <c r="AY621" s="2204" t="s">
        <v>3285</v>
      </c>
    </row>
    <row r="622" spans="2:65" s="2070" customFormat="1" ht="49.15" customHeight="1">
      <c r="B622" s="2164"/>
      <c r="C622" s="4608" t="s">
        <v>3889</v>
      </c>
      <c r="D622" s="4608" t="s">
        <v>3286</v>
      </c>
      <c r="E622" s="4609" t="s">
        <v>11156</v>
      </c>
      <c r="F622" s="4610" t="s">
        <v>11157</v>
      </c>
      <c r="G622" s="4611" t="s">
        <v>611</v>
      </c>
      <c r="H622" s="4612">
        <v>64.331000000000003</v>
      </c>
      <c r="I622" s="4613"/>
      <c r="J622" s="4613">
        <f>ROUND(I622*H622,2)</f>
        <v>0</v>
      </c>
      <c r="K622" s="4610" t="s">
        <v>142</v>
      </c>
      <c r="L622" s="2071"/>
      <c r="M622" s="2190" t="s">
        <v>3146</v>
      </c>
      <c r="N622" s="2163" t="s">
        <v>3181</v>
      </c>
      <c r="O622" s="2191">
        <v>2.1840000000000002</v>
      </c>
      <c r="P622" s="2191">
        <f>O622*H622</f>
        <v>140.49890400000001</v>
      </c>
      <c r="Q622" s="2191">
        <v>4.9950000000000001E-2</v>
      </c>
      <c r="R622" s="2191">
        <f>Q622*H622</f>
        <v>3.2133334500000004</v>
      </c>
      <c r="S622" s="2191">
        <v>0</v>
      </c>
      <c r="T622" s="2192">
        <f>S622*H622</f>
        <v>0</v>
      </c>
      <c r="AR622" s="2193" t="s">
        <v>2894</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2894</v>
      </c>
      <c r="BM622" s="2193" t="s">
        <v>11158</v>
      </c>
    </row>
    <row r="623" spans="2:65" s="2195" customFormat="1">
      <c r="B623" s="2196"/>
      <c r="D623" s="2197" t="s">
        <v>3303</v>
      </c>
      <c r="E623" s="2198" t="s">
        <v>3146</v>
      </c>
      <c r="F623" s="2199" t="s">
        <v>3661</v>
      </c>
      <c r="H623" s="2198" t="s">
        <v>3146</v>
      </c>
      <c r="L623" s="2196"/>
      <c r="M623" s="2200"/>
      <c r="T623" s="2201"/>
      <c r="AT623" s="2198" t="s">
        <v>3303</v>
      </c>
      <c r="AU623" s="2198" t="s">
        <v>134</v>
      </c>
      <c r="AV623" s="2195" t="s">
        <v>133</v>
      </c>
      <c r="AW623" s="2195" t="s">
        <v>3171</v>
      </c>
      <c r="AX623" s="2195" t="s">
        <v>3213</v>
      </c>
      <c r="AY623" s="2198" t="s">
        <v>3285</v>
      </c>
    </row>
    <row r="624" spans="2:65" s="2209" customFormat="1">
      <c r="B624" s="2210"/>
      <c r="D624" s="2197" t="s">
        <v>3303</v>
      </c>
      <c r="E624" s="2211" t="s">
        <v>3146</v>
      </c>
      <c r="F624" s="2212" t="s">
        <v>11159</v>
      </c>
      <c r="H624" s="2213">
        <v>64.331000000000003</v>
      </c>
      <c r="L624" s="2210"/>
      <c r="M624" s="2214"/>
      <c r="T624" s="2215"/>
      <c r="AT624" s="2211" t="s">
        <v>3303</v>
      </c>
      <c r="AU624" s="2211" t="s">
        <v>134</v>
      </c>
      <c r="AV624" s="2209" t="s">
        <v>134</v>
      </c>
      <c r="AW624" s="2209" t="s">
        <v>3171</v>
      </c>
      <c r="AX624" s="2209" t="s">
        <v>3213</v>
      </c>
      <c r="AY624" s="2211" t="s">
        <v>3285</v>
      </c>
    </row>
    <row r="625" spans="2:65" s="2216" customFormat="1">
      <c r="B625" s="2217"/>
      <c r="D625" s="2197" t="s">
        <v>3303</v>
      </c>
      <c r="E625" s="2218" t="s">
        <v>3146</v>
      </c>
      <c r="F625" s="2219" t="s">
        <v>3306</v>
      </c>
      <c r="H625" s="2220">
        <v>64.331000000000003</v>
      </c>
      <c r="L625" s="2217"/>
      <c r="M625" s="2221"/>
      <c r="T625" s="2222"/>
      <c r="AT625" s="2218" t="s">
        <v>3303</v>
      </c>
      <c r="AU625" s="2218" t="s">
        <v>134</v>
      </c>
      <c r="AV625" s="2216" t="s">
        <v>856</v>
      </c>
      <c r="AW625" s="2216" t="s">
        <v>3171</v>
      </c>
      <c r="AX625" s="2216" t="s">
        <v>133</v>
      </c>
      <c r="AY625" s="2218" t="s">
        <v>3285</v>
      </c>
    </row>
    <row r="626" spans="2:65" s="2070" customFormat="1" ht="49.15" customHeight="1">
      <c r="B626" s="2164"/>
      <c r="C626" s="4608" t="s">
        <v>3893</v>
      </c>
      <c r="D626" s="4608" t="s">
        <v>3286</v>
      </c>
      <c r="E626" s="4609" t="s">
        <v>11160</v>
      </c>
      <c r="F626" s="4610" t="s">
        <v>11161</v>
      </c>
      <c r="G626" s="4611" t="s">
        <v>611</v>
      </c>
      <c r="H626" s="4612">
        <v>254.43100000000001</v>
      </c>
      <c r="I626" s="4613"/>
      <c r="J626" s="4613">
        <f>ROUND(I626*H626,2)</f>
        <v>0</v>
      </c>
      <c r="K626" s="4610" t="s">
        <v>142</v>
      </c>
      <c r="L626" s="2071"/>
      <c r="M626" s="2190" t="s">
        <v>3146</v>
      </c>
      <c r="N626" s="2163" t="s">
        <v>3181</v>
      </c>
      <c r="O626" s="2191">
        <v>2.1840000000000002</v>
      </c>
      <c r="P626" s="2191">
        <f>O626*H626</f>
        <v>555.67730400000005</v>
      </c>
      <c r="Q626" s="2191">
        <v>5.5350000000000003E-2</v>
      </c>
      <c r="R626" s="2191">
        <f>Q626*H626</f>
        <v>14.082755850000002</v>
      </c>
      <c r="S626" s="2191">
        <v>0</v>
      </c>
      <c r="T626" s="2192">
        <f>S626*H626</f>
        <v>0</v>
      </c>
      <c r="AR626" s="2193" t="s">
        <v>2894</v>
      </c>
      <c r="AT626" s="2193" t="s">
        <v>3286</v>
      </c>
      <c r="AU626" s="2193" t="s">
        <v>134</v>
      </c>
      <c r="AY626" s="2056" t="s">
        <v>3285</v>
      </c>
      <c r="BE626" s="2194">
        <f>IF(N626="základní",J626,0)</f>
        <v>0</v>
      </c>
      <c r="BF626" s="2194">
        <f>IF(N626="snížená",J626,0)</f>
        <v>0</v>
      </c>
      <c r="BG626" s="2194">
        <f>IF(N626="zákl. přenesená",J626,0)</f>
        <v>0</v>
      </c>
      <c r="BH626" s="2194">
        <f>IF(N626="sníž. přenesená",J626,0)</f>
        <v>0</v>
      </c>
      <c r="BI626" s="2194">
        <f>IF(N626="nulová",J626,0)</f>
        <v>0</v>
      </c>
      <c r="BJ626" s="2056" t="s">
        <v>134</v>
      </c>
      <c r="BK626" s="2194">
        <f>ROUND(I626*H626,2)</f>
        <v>0</v>
      </c>
      <c r="BL626" s="2056" t="s">
        <v>2894</v>
      </c>
      <c r="BM626" s="2193" t="s">
        <v>11162</v>
      </c>
    </row>
    <row r="627" spans="2:65" s="2195" customFormat="1">
      <c r="B627" s="2196"/>
      <c r="D627" s="2197" t="s">
        <v>3303</v>
      </c>
      <c r="E627" s="2198" t="s">
        <v>3146</v>
      </c>
      <c r="F627" s="2199" t="s">
        <v>3578</v>
      </c>
      <c r="H627" s="2198" t="s">
        <v>3146</v>
      </c>
      <c r="L627" s="2196"/>
      <c r="M627" s="2200"/>
      <c r="T627" s="2201"/>
      <c r="AT627" s="2198" t="s">
        <v>3303</v>
      </c>
      <c r="AU627" s="2198" t="s">
        <v>134</v>
      </c>
      <c r="AV627" s="2195" t="s">
        <v>133</v>
      </c>
      <c r="AW627" s="2195" t="s">
        <v>3171</v>
      </c>
      <c r="AX627" s="2195" t="s">
        <v>3213</v>
      </c>
      <c r="AY627" s="2198" t="s">
        <v>3285</v>
      </c>
    </row>
    <row r="628" spans="2:65" s="2209" customFormat="1">
      <c r="B628" s="2210"/>
      <c r="D628" s="2197" t="s">
        <v>3303</v>
      </c>
      <c r="E628" s="2211" t="s">
        <v>3146</v>
      </c>
      <c r="F628" s="2212" t="s">
        <v>11163</v>
      </c>
      <c r="H628" s="2213">
        <v>91.724000000000004</v>
      </c>
      <c r="L628" s="2210"/>
      <c r="M628" s="2214"/>
      <c r="T628" s="2215"/>
      <c r="AT628" s="2211" t="s">
        <v>3303</v>
      </c>
      <c r="AU628" s="2211" t="s">
        <v>134</v>
      </c>
      <c r="AV628" s="2209" t="s">
        <v>134</v>
      </c>
      <c r="AW628" s="2209" t="s">
        <v>3171</v>
      </c>
      <c r="AX628" s="2209" t="s">
        <v>3213</v>
      </c>
      <c r="AY628" s="2211" t="s">
        <v>3285</v>
      </c>
    </row>
    <row r="629" spans="2:65" s="2209" customFormat="1">
      <c r="B629" s="2210"/>
      <c r="D629" s="2197" t="s">
        <v>3303</v>
      </c>
      <c r="E629" s="2211" t="s">
        <v>3146</v>
      </c>
      <c r="F629" s="2212" t="s">
        <v>11164</v>
      </c>
      <c r="H629" s="2213">
        <v>65.39</v>
      </c>
      <c r="L629" s="2210"/>
      <c r="M629" s="2214"/>
      <c r="T629" s="2215"/>
      <c r="AT629" s="2211" t="s">
        <v>3303</v>
      </c>
      <c r="AU629" s="2211" t="s">
        <v>134</v>
      </c>
      <c r="AV629" s="2209" t="s">
        <v>134</v>
      </c>
      <c r="AW629" s="2209" t="s">
        <v>3171</v>
      </c>
      <c r="AX629" s="2209" t="s">
        <v>3213</v>
      </c>
      <c r="AY629" s="2211" t="s">
        <v>3285</v>
      </c>
    </row>
    <row r="630" spans="2:65" s="2195" customFormat="1">
      <c r="B630" s="2196"/>
      <c r="D630" s="2197" t="s">
        <v>3303</v>
      </c>
      <c r="E630" s="2198" t="s">
        <v>3146</v>
      </c>
      <c r="F630" s="2199" t="s">
        <v>3580</v>
      </c>
      <c r="H630" s="2198" t="s">
        <v>3146</v>
      </c>
      <c r="L630" s="2196"/>
      <c r="M630" s="2200"/>
      <c r="T630" s="2201"/>
      <c r="AT630" s="2198" t="s">
        <v>3303</v>
      </c>
      <c r="AU630" s="2198" t="s">
        <v>134</v>
      </c>
      <c r="AV630" s="2195" t="s">
        <v>133</v>
      </c>
      <c r="AW630" s="2195" t="s">
        <v>3171</v>
      </c>
      <c r="AX630" s="2195" t="s">
        <v>3213</v>
      </c>
      <c r="AY630" s="2198" t="s">
        <v>3285</v>
      </c>
    </row>
    <row r="631" spans="2:65" s="2209" customFormat="1">
      <c r="B631" s="2210"/>
      <c r="D631" s="2197" t="s">
        <v>3303</v>
      </c>
      <c r="E631" s="2211" t="s">
        <v>3146</v>
      </c>
      <c r="F631" s="2212" t="s">
        <v>11155</v>
      </c>
      <c r="H631" s="2213">
        <v>97.316999999999993</v>
      </c>
      <c r="L631" s="2210"/>
      <c r="M631" s="2214"/>
      <c r="T631" s="2215"/>
      <c r="AT631" s="2211" t="s">
        <v>3303</v>
      </c>
      <c r="AU631" s="2211" t="s">
        <v>134</v>
      </c>
      <c r="AV631" s="2209" t="s">
        <v>134</v>
      </c>
      <c r="AW631" s="2209" t="s">
        <v>3171</v>
      </c>
      <c r="AX631" s="2209" t="s">
        <v>3213</v>
      </c>
      <c r="AY631" s="2211" t="s">
        <v>3285</v>
      </c>
    </row>
    <row r="632" spans="2:65" s="2202" customFormat="1">
      <c r="B632" s="2203"/>
      <c r="D632" s="2197" t="s">
        <v>3303</v>
      </c>
      <c r="E632" s="2204" t="s">
        <v>3146</v>
      </c>
      <c r="F632" s="2205" t="s">
        <v>3305</v>
      </c>
      <c r="H632" s="2206">
        <v>254.43100000000001</v>
      </c>
      <c r="L632" s="2203"/>
      <c r="M632" s="2207"/>
      <c r="T632" s="2208"/>
      <c r="AT632" s="2204" t="s">
        <v>3303</v>
      </c>
      <c r="AU632" s="2204" t="s">
        <v>134</v>
      </c>
      <c r="AV632" s="2202" t="s">
        <v>854</v>
      </c>
      <c r="AW632" s="2202" t="s">
        <v>3171</v>
      </c>
      <c r="AX632" s="2202" t="s">
        <v>3213</v>
      </c>
      <c r="AY632" s="2204" t="s">
        <v>3285</v>
      </c>
    </row>
    <row r="633" spans="2:65" s="2216" customFormat="1">
      <c r="B633" s="2217"/>
      <c r="D633" s="2197" t="s">
        <v>3303</v>
      </c>
      <c r="E633" s="2218" t="s">
        <v>3146</v>
      </c>
      <c r="F633" s="2219" t="s">
        <v>3306</v>
      </c>
      <c r="H633" s="2220">
        <v>254.43100000000001</v>
      </c>
      <c r="L633" s="2217"/>
      <c r="M633" s="2221"/>
      <c r="T633" s="2222"/>
      <c r="AT633" s="2218" t="s">
        <v>3303</v>
      </c>
      <c r="AU633" s="2218" t="s">
        <v>134</v>
      </c>
      <c r="AV633" s="2216" t="s">
        <v>856</v>
      </c>
      <c r="AW633" s="2216" t="s">
        <v>3171</v>
      </c>
      <c r="AX633" s="2216" t="s">
        <v>133</v>
      </c>
      <c r="AY633" s="2218" t="s">
        <v>3285</v>
      </c>
    </row>
    <row r="634" spans="2:65" s="2070" customFormat="1" ht="37.9" customHeight="1">
      <c r="B634" s="2164"/>
      <c r="C634" s="4608" t="s">
        <v>3897</v>
      </c>
      <c r="D634" s="4608" t="s">
        <v>3286</v>
      </c>
      <c r="E634" s="4609" t="s">
        <v>11165</v>
      </c>
      <c r="F634" s="4610" t="s">
        <v>11166</v>
      </c>
      <c r="G634" s="4611" t="s">
        <v>611</v>
      </c>
      <c r="H634" s="4612">
        <v>201.298</v>
      </c>
      <c r="I634" s="4613"/>
      <c r="J634" s="4613">
        <f>ROUND(I634*H634,2)</f>
        <v>0</v>
      </c>
      <c r="K634" s="4610" t="s">
        <v>142</v>
      </c>
      <c r="L634" s="2071"/>
      <c r="M634" s="2190" t="s">
        <v>3146</v>
      </c>
      <c r="N634" s="2163" t="s">
        <v>3181</v>
      </c>
      <c r="O634" s="2191">
        <v>1.617</v>
      </c>
      <c r="P634" s="2191">
        <f>O634*H634</f>
        <v>325.49886600000002</v>
      </c>
      <c r="Q634" s="2191">
        <v>6.1190000000000001E-2</v>
      </c>
      <c r="R634" s="2191">
        <f>Q634*H634</f>
        <v>12.317424620000001</v>
      </c>
      <c r="S634" s="2191">
        <v>0</v>
      </c>
      <c r="T634" s="2192">
        <f>S634*H634</f>
        <v>0</v>
      </c>
      <c r="AR634" s="2193" t="s">
        <v>2894</v>
      </c>
      <c r="AT634" s="2193" t="s">
        <v>3286</v>
      </c>
      <c r="AU634" s="2193" t="s">
        <v>134</v>
      </c>
      <c r="AY634" s="2056" t="s">
        <v>3285</v>
      </c>
      <c r="BE634" s="2194">
        <f>IF(N634="základní",J634,0)</f>
        <v>0</v>
      </c>
      <c r="BF634" s="2194">
        <f>IF(N634="snížená",J634,0)</f>
        <v>0</v>
      </c>
      <c r="BG634" s="2194">
        <f>IF(N634="zákl. přenesená",J634,0)</f>
        <v>0</v>
      </c>
      <c r="BH634" s="2194">
        <f>IF(N634="sníž. přenesená",J634,0)</f>
        <v>0</v>
      </c>
      <c r="BI634" s="2194">
        <f>IF(N634="nulová",J634,0)</f>
        <v>0</v>
      </c>
      <c r="BJ634" s="2056" t="s">
        <v>134</v>
      </c>
      <c r="BK634" s="2194">
        <f>ROUND(I634*H634,2)</f>
        <v>0</v>
      </c>
      <c r="BL634" s="2056" t="s">
        <v>2894</v>
      </c>
      <c r="BM634" s="2193" t="s">
        <v>11167</v>
      </c>
    </row>
    <row r="635" spans="2:65" s="2195" customFormat="1">
      <c r="B635" s="2196"/>
      <c r="D635" s="2197" t="s">
        <v>3303</v>
      </c>
      <c r="E635" s="2198" t="s">
        <v>3146</v>
      </c>
      <c r="F635" s="2199" t="s">
        <v>3517</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11168</v>
      </c>
      <c r="H636" s="2213">
        <v>24.452999999999999</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3578</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11169</v>
      </c>
      <c r="H638" s="2213">
        <v>56.73</v>
      </c>
      <c r="L638" s="2210"/>
      <c r="M638" s="2214"/>
      <c r="T638" s="2215"/>
      <c r="AT638" s="2211" t="s">
        <v>3303</v>
      </c>
      <c r="AU638" s="2211" t="s">
        <v>134</v>
      </c>
      <c r="AV638" s="2209" t="s">
        <v>134</v>
      </c>
      <c r="AW638" s="2209" t="s">
        <v>3171</v>
      </c>
      <c r="AX638" s="2209" t="s">
        <v>3213</v>
      </c>
      <c r="AY638" s="2211" t="s">
        <v>3285</v>
      </c>
    </row>
    <row r="639" spans="2:65" s="2195" customFormat="1">
      <c r="B639" s="2196"/>
      <c r="D639" s="2197" t="s">
        <v>3303</v>
      </c>
      <c r="E639" s="2198" t="s">
        <v>3146</v>
      </c>
      <c r="F639" s="2199" t="s">
        <v>3580</v>
      </c>
      <c r="H639" s="2198" t="s">
        <v>3146</v>
      </c>
      <c r="L639" s="2196"/>
      <c r="M639" s="2200"/>
      <c r="T639" s="2201"/>
      <c r="AT639" s="2198" t="s">
        <v>3303</v>
      </c>
      <c r="AU639" s="2198" t="s">
        <v>134</v>
      </c>
      <c r="AV639" s="2195" t="s">
        <v>133</v>
      </c>
      <c r="AW639" s="2195" t="s">
        <v>3171</v>
      </c>
      <c r="AX639" s="2195" t="s">
        <v>3213</v>
      </c>
      <c r="AY639" s="2198" t="s">
        <v>3285</v>
      </c>
    </row>
    <row r="640" spans="2:65" s="2209" customFormat="1">
      <c r="B640" s="2210"/>
      <c r="D640" s="2197" t="s">
        <v>3303</v>
      </c>
      <c r="E640" s="2211" t="s">
        <v>3146</v>
      </c>
      <c r="F640" s="2212" t="s">
        <v>11170</v>
      </c>
      <c r="H640" s="2213">
        <v>120.11499999999999</v>
      </c>
      <c r="L640" s="2210"/>
      <c r="M640" s="2214"/>
      <c r="T640" s="2215"/>
      <c r="AT640" s="2211" t="s">
        <v>3303</v>
      </c>
      <c r="AU640" s="2211" t="s">
        <v>134</v>
      </c>
      <c r="AV640" s="2209" t="s">
        <v>134</v>
      </c>
      <c r="AW640" s="2209" t="s">
        <v>3171</v>
      </c>
      <c r="AX640" s="2209" t="s">
        <v>3213</v>
      </c>
      <c r="AY640" s="2211" t="s">
        <v>3285</v>
      </c>
    </row>
    <row r="641" spans="2:65" s="2216" customFormat="1">
      <c r="B641" s="2217"/>
      <c r="D641" s="2197" t="s">
        <v>3303</v>
      </c>
      <c r="E641" s="2218" t="s">
        <v>3146</v>
      </c>
      <c r="F641" s="2219" t="s">
        <v>3306</v>
      </c>
      <c r="H641" s="2220">
        <v>201.298</v>
      </c>
      <c r="L641" s="2217"/>
      <c r="M641" s="2221"/>
      <c r="T641" s="2222"/>
      <c r="AT641" s="2218" t="s">
        <v>3303</v>
      </c>
      <c r="AU641" s="2218" t="s">
        <v>134</v>
      </c>
      <c r="AV641" s="2216" t="s">
        <v>856</v>
      </c>
      <c r="AW641" s="2216" t="s">
        <v>3171</v>
      </c>
      <c r="AX641" s="2216" t="s">
        <v>133</v>
      </c>
      <c r="AY641" s="2218" t="s">
        <v>3285</v>
      </c>
    </row>
    <row r="642" spans="2:65" s="2070" customFormat="1" ht="37.9" customHeight="1">
      <c r="B642" s="2164"/>
      <c r="C642" s="4608" t="s">
        <v>3901</v>
      </c>
      <c r="D642" s="4608" t="s">
        <v>3286</v>
      </c>
      <c r="E642" s="4609" t="s">
        <v>11171</v>
      </c>
      <c r="F642" s="4610" t="s">
        <v>11172</v>
      </c>
      <c r="G642" s="4611" t="s">
        <v>611</v>
      </c>
      <c r="H642" s="4612">
        <v>1654.624</v>
      </c>
      <c r="I642" s="4613"/>
      <c r="J642" s="4613">
        <f>ROUND(I642*H642,2)</f>
        <v>0</v>
      </c>
      <c r="K642" s="4610" t="s">
        <v>142</v>
      </c>
      <c r="L642" s="2071"/>
      <c r="M642" s="2190" t="s">
        <v>3146</v>
      </c>
      <c r="N642" s="2163" t="s">
        <v>3181</v>
      </c>
      <c r="O642" s="2191">
        <v>2.0990000000000002</v>
      </c>
      <c r="P642" s="2191">
        <f>O642*H642</f>
        <v>3473.0557760000006</v>
      </c>
      <c r="Q642" s="2191">
        <v>5.9819999999999998E-2</v>
      </c>
      <c r="R642" s="2191">
        <f>Q642*H642</f>
        <v>98.979607680000001</v>
      </c>
      <c r="S642" s="2191">
        <v>0</v>
      </c>
      <c r="T642" s="2192">
        <f>S642*H642</f>
        <v>0</v>
      </c>
      <c r="AR642" s="2193" t="s">
        <v>2894</v>
      </c>
      <c r="AT642" s="2193" t="s">
        <v>3286</v>
      </c>
      <c r="AU642" s="2193" t="s">
        <v>134</v>
      </c>
      <c r="AY642" s="2056" t="s">
        <v>3285</v>
      </c>
      <c r="BE642" s="2194">
        <f>IF(N642="základní",J642,0)</f>
        <v>0</v>
      </c>
      <c r="BF642" s="2194">
        <f>IF(N642="snížená",J642,0)</f>
        <v>0</v>
      </c>
      <c r="BG642" s="2194">
        <f>IF(N642="zákl. přenesená",J642,0)</f>
        <v>0</v>
      </c>
      <c r="BH642" s="2194">
        <f>IF(N642="sníž. přenesená",J642,0)</f>
        <v>0</v>
      </c>
      <c r="BI642" s="2194">
        <f>IF(N642="nulová",J642,0)</f>
        <v>0</v>
      </c>
      <c r="BJ642" s="2056" t="s">
        <v>134</v>
      </c>
      <c r="BK642" s="2194">
        <f>ROUND(I642*H642,2)</f>
        <v>0</v>
      </c>
      <c r="BL642" s="2056" t="s">
        <v>2894</v>
      </c>
      <c r="BM642" s="2193" t="s">
        <v>11173</v>
      </c>
    </row>
    <row r="643" spans="2:65" s="2195" customFormat="1">
      <c r="B643" s="2196"/>
      <c r="D643" s="2197" t="s">
        <v>3303</v>
      </c>
      <c r="E643" s="2198" t="s">
        <v>3146</v>
      </c>
      <c r="F643" s="2199" t="s">
        <v>3517</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11174</v>
      </c>
      <c r="H644" s="2213">
        <v>505.06200000000001</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3661</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11175</v>
      </c>
      <c r="H646" s="2213">
        <v>572.82299999999998</v>
      </c>
      <c r="L646" s="2210"/>
      <c r="M646" s="2214"/>
      <c r="T646" s="2215"/>
      <c r="AT646" s="2211" t="s">
        <v>3303</v>
      </c>
      <c r="AU646" s="2211" t="s">
        <v>134</v>
      </c>
      <c r="AV646" s="2209" t="s">
        <v>134</v>
      </c>
      <c r="AW646" s="2209" t="s">
        <v>3171</v>
      </c>
      <c r="AX646" s="2209" t="s">
        <v>3213</v>
      </c>
      <c r="AY646" s="2211" t="s">
        <v>3285</v>
      </c>
    </row>
    <row r="647" spans="2:65" s="2195" customFormat="1">
      <c r="B647" s="2196"/>
      <c r="D647" s="2197" t="s">
        <v>3303</v>
      </c>
      <c r="E647" s="2198" t="s">
        <v>3146</v>
      </c>
      <c r="F647" s="2199" t="s">
        <v>3580</v>
      </c>
      <c r="H647" s="2198" t="s">
        <v>3146</v>
      </c>
      <c r="L647" s="2196"/>
      <c r="M647" s="2200"/>
      <c r="T647" s="2201"/>
      <c r="AT647" s="2198" t="s">
        <v>3303</v>
      </c>
      <c r="AU647" s="2198" t="s">
        <v>134</v>
      </c>
      <c r="AV647" s="2195" t="s">
        <v>133</v>
      </c>
      <c r="AW647" s="2195" t="s">
        <v>3171</v>
      </c>
      <c r="AX647" s="2195" t="s">
        <v>3213</v>
      </c>
      <c r="AY647" s="2198" t="s">
        <v>3285</v>
      </c>
    </row>
    <row r="648" spans="2:65" s="2209" customFormat="1">
      <c r="B648" s="2210"/>
      <c r="D648" s="2197" t="s">
        <v>3303</v>
      </c>
      <c r="E648" s="2211" t="s">
        <v>3146</v>
      </c>
      <c r="F648" s="2212" t="s">
        <v>11176</v>
      </c>
      <c r="H648" s="2213">
        <v>576.73900000000003</v>
      </c>
      <c r="L648" s="2210"/>
      <c r="M648" s="2214"/>
      <c r="T648" s="2215"/>
      <c r="AT648" s="2211" t="s">
        <v>3303</v>
      </c>
      <c r="AU648" s="2211" t="s">
        <v>134</v>
      </c>
      <c r="AV648" s="2209" t="s">
        <v>134</v>
      </c>
      <c r="AW648" s="2209" t="s">
        <v>3171</v>
      </c>
      <c r="AX648" s="2209" t="s">
        <v>3213</v>
      </c>
      <c r="AY648" s="2211" t="s">
        <v>3285</v>
      </c>
    </row>
    <row r="649" spans="2:65" s="2216" customFormat="1">
      <c r="B649" s="2217"/>
      <c r="D649" s="2197" t="s">
        <v>3303</v>
      </c>
      <c r="E649" s="2218" t="s">
        <v>3146</v>
      </c>
      <c r="F649" s="2219" t="s">
        <v>3306</v>
      </c>
      <c r="H649" s="2220">
        <v>1654.624</v>
      </c>
      <c r="L649" s="2217"/>
      <c r="M649" s="2221"/>
      <c r="T649" s="2222"/>
      <c r="AT649" s="2218" t="s">
        <v>3303</v>
      </c>
      <c r="AU649" s="2218" t="s">
        <v>134</v>
      </c>
      <c r="AV649" s="2216" t="s">
        <v>856</v>
      </c>
      <c r="AW649" s="2216" t="s">
        <v>3171</v>
      </c>
      <c r="AX649" s="2216" t="s">
        <v>133</v>
      </c>
      <c r="AY649" s="2218" t="s">
        <v>3285</v>
      </c>
    </row>
    <row r="650" spans="2:65" s="2070" customFormat="1" ht="24.2" customHeight="1">
      <c r="B650" s="2164"/>
      <c r="C650" s="4608" t="s">
        <v>3905</v>
      </c>
      <c r="D650" s="4608" t="s">
        <v>3286</v>
      </c>
      <c r="E650" s="4609" t="s">
        <v>11177</v>
      </c>
      <c r="F650" s="4610" t="s">
        <v>11178</v>
      </c>
      <c r="G650" s="4611" t="s">
        <v>611</v>
      </c>
      <c r="H650" s="4612">
        <v>62.811999999999998</v>
      </c>
      <c r="I650" s="4613"/>
      <c r="J650" s="4613">
        <f>ROUND(I650*H650,2)</f>
        <v>0</v>
      </c>
      <c r="K650" s="4610" t="s">
        <v>142</v>
      </c>
      <c r="L650" s="2071"/>
      <c r="M650" s="2190" t="s">
        <v>3146</v>
      </c>
      <c r="N650" s="2163" t="s">
        <v>3181</v>
      </c>
      <c r="O650" s="2191">
        <v>0.69899999999999995</v>
      </c>
      <c r="P650" s="2191">
        <f>O650*H650</f>
        <v>43.905587999999995</v>
      </c>
      <c r="Q650" s="2191">
        <v>1.1820000000000001E-2</v>
      </c>
      <c r="R650" s="2191">
        <f>Q650*H650</f>
        <v>0.74243784000000002</v>
      </c>
      <c r="S650" s="2191">
        <v>0</v>
      </c>
      <c r="T650" s="2192">
        <f>S650*H650</f>
        <v>0</v>
      </c>
      <c r="AR650" s="2193" t="s">
        <v>2894</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2894</v>
      </c>
      <c r="BM650" s="2193" t="s">
        <v>11179</v>
      </c>
    </row>
    <row r="651" spans="2:65" s="2195" customFormat="1">
      <c r="B651" s="2196"/>
      <c r="D651" s="2197" t="s">
        <v>3303</v>
      </c>
      <c r="E651" s="2198" t="s">
        <v>3146</v>
      </c>
      <c r="F651" s="2199" t="s">
        <v>3517</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11180</v>
      </c>
      <c r="H652" s="2213">
        <v>10.023999999999999</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11128</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11181</v>
      </c>
      <c r="H654" s="2213">
        <v>27.65</v>
      </c>
      <c r="L654" s="2210"/>
      <c r="M654" s="2214"/>
      <c r="T654" s="2215"/>
      <c r="AT654" s="2211" t="s">
        <v>3303</v>
      </c>
      <c r="AU654" s="2211" t="s">
        <v>134</v>
      </c>
      <c r="AV654" s="2209" t="s">
        <v>134</v>
      </c>
      <c r="AW654" s="2209" t="s">
        <v>3171</v>
      </c>
      <c r="AX654" s="2209" t="s">
        <v>3213</v>
      </c>
      <c r="AY654" s="2211" t="s">
        <v>3285</v>
      </c>
    </row>
    <row r="655" spans="2:65" s="2195" customFormat="1">
      <c r="B655" s="2196"/>
      <c r="D655" s="2197" t="s">
        <v>3303</v>
      </c>
      <c r="E655" s="2198" t="s">
        <v>3146</v>
      </c>
      <c r="F655" s="2199" t="s">
        <v>3580</v>
      </c>
      <c r="H655" s="2198" t="s">
        <v>3146</v>
      </c>
      <c r="L655" s="2196"/>
      <c r="M655" s="2200"/>
      <c r="T655" s="2201"/>
      <c r="AT655" s="2198" t="s">
        <v>3303</v>
      </c>
      <c r="AU655" s="2198" t="s">
        <v>134</v>
      </c>
      <c r="AV655" s="2195" t="s">
        <v>133</v>
      </c>
      <c r="AW655" s="2195" t="s">
        <v>3171</v>
      </c>
      <c r="AX655" s="2195" t="s">
        <v>3213</v>
      </c>
      <c r="AY655" s="2198" t="s">
        <v>3285</v>
      </c>
    </row>
    <row r="656" spans="2:65" s="2209" customFormat="1">
      <c r="B656" s="2210"/>
      <c r="D656" s="2197" t="s">
        <v>3303</v>
      </c>
      <c r="E656" s="2211" t="s">
        <v>3146</v>
      </c>
      <c r="F656" s="2212" t="s">
        <v>11182</v>
      </c>
      <c r="H656" s="2213">
        <v>25.138000000000002</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62.811999999999998</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t="s">
        <v>3909</v>
      </c>
      <c r="D658" s="4608" t="s">
        <v>3286</v>
      </c>
      <c r="E658" s="4609" t="s">
        <v>11183</v>
      </c>
      <c r="F658" s="4610" t="s">
        <v>11184</v>
      </c>
      <c r="G658" s="4611" t="s">
        <v>611</v>
      </c>
      <c r="H658" s="4612">
        <v>16.495999999999999</v>
      </c>
      <c r="I658" s="4613"/>
      <c r="J658" s="4613">
        <f>ROUND(I658*H658,2)</f>
        <v>0</v>
      </c>
      <c r="K658" s="4610" t="s">
        <v>142</v>
      </c>
      <c r="L658" s="2071"/>
      <c r="M658" s="2190" t="s">
        <v>3146</v>
      </c>
      <c r="N658" s="2163" t="s">
        <v>3181</v>
      </c>
      <c r="O658" s="2191">
        <v>0.69899999999999995</v>
      </c>
      <c r="P658" s="2191">
        <f>O658*H658</f>
        <v>11.530703999999998</v>
      </c>
      <c r="Q658" s="2191">
        <v>1.256E-2</v>
      </c>
      <c r="R658" s="2191">
        <f>Q658*H658</f>
        <v>0.20718975999999997</v>
      </c>
      <c r="S658" s="2191">
        <v>0</v>
      </c>
      <c r="T658" s="2192">
        <f>S658*H658</f>
        <v>0</v>
      </c>
      <c r="AR658" s="2193" t="s">
        <v>2894</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2894</v>
      </c>
      <c r="BM658" s="2193" t="s">
        <v>11185</v>
      </c>
    </row>
    <row r="659" spans="2:65" s="2195" customFormat="1">
      <c r="B659" s="2196"/>
      <c r="D659" s="2197" t="s">
        <v>3303</v>
      </c>
      <c r="E659" s="2198" t="s">
        <v>3146</v>
      </c>
      <c r="F659" s="2199" t="s">
        <v>3661</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11186</v>
      </c>
      <c r="H660" s="2213">
        <v>8.2479999999999993</v>
      </c>
      <c r="L660" s="2210"/>
      <c r="M660" s="2214"/>
      <c r="T660" s="2215"/>
      <c r="AT660" s="2211" t="s">
        <v>3303</v>
      </c>
      <c r="AU660" s="2211" t="s">
        <v>134</v>
      </c>
      <c r="AV660" s="2209" t="s">
        <v>134</v>
      </c>
      <c r="AW660" s="2209" t="s">
        <v>3171</v>
      </c>
      <c r="AX660" s="2209" t="s">
        <v>3213</v>
      </c>
      <c r="AY660" s="2211" t="s">
        <v>3285</v>
      </c>
    </row>
    <row r="661" spans="2:65" s="2195" customFormat="1">
      <c r="B661" s="2196"/>
      <c r="D661" s="2197" t="s">
        <v>3303</v>
      </c>
      <c r="E661" s="2198" t="s">
        <v>3146</v>
      </c>
      <c r="F661" s="2199" t="s">
        <v>3578</v>
      </c>
      <c r="H661" s="2198" t="s">
        <v>3146</v>
      </c>
      <c r="L661" s="2196"/>
      <c r="M661" s="2200"/>
      <c r="T661" s="2201"/>
      <c r="AT661" s="2198" t="s">
        <v>3303</v>
      </c>
      <c r="AU661" s="2198" t="s">
        <v>134</v>
      </c>
      <c r="AV661" s="2195" t="s">
        <v>133</v>
      </c>
      <c r="AW661" s="2195" t="s">
        <v>3171</v>
      </c>
      <c r="AX661" s="2195" t="s">
        <v>3213</v>
      </c>
      <c r="AY661" s="2198" t="s">
        <v>3285</v>
      </c>
    </row>
    <row r="662" spans="2:65" s="2209" customFormat="1">
      <c r="B662" s="2210"/>
      <c r="D662" s="2197" t="s">
        <v>3303</v>
      </c>
      <c r="E662" s="2211" t="s">
        <v>3146</v>
      </c>
      <c r="F662" s="2212" t="s">
        <v>11186</v>
      </c>
      <c r="H662" s="2213">
        <v>8.2479999999999993</v>
      </c>
      <c r="L662" s="2210"/>
      <c r="M662" s="2214"/>
      <c r="T662" s="2215"/>
      <c r="AT662" s="2211" t="s">
        <v>3303</v>
      </c>
      <c r="AU662" s="2211" t="s">
        <v>134</v>
      </c>
      <c r="AV662" s="2209" t="s">
        <v>134</v>
      </c>
      <c r="AW662" s="2209" t="s">
        <v>3171</v>
      </c>
      <c r="AX662" s="2209" t="s">
        <v>3213</v>
      </c>
      <c r="AY662" s="2211" t="s">
        <v>3285</v>
      </c>
    </row>
    <row r="663" spans="2:65" s="2216" customFormat="1">
      <c r="B663" s="2217"/>
      <c r="D663" s="2197" t="s">
        <v>3303</v>
      </c>
      <c r="E663" s="2218" t="s">
        <v>3146</v>
      </c>
      <c r="F663" s="2219" t="s">
        <v>3306</v>
      </c>
      <c r="H663" s="2220">
        <v>16.495999999999999</v>
      </c>
      <c r="L663" s="2217"/>
      <c r="M663" s="2221"/>
      <c r="T663" s="2222"/>
      <c r="AT663" s="2218" t="s">
        <v>3303</v>
      </c>
      <c r="AU663" s="2218" t="s">
        <v>134</v>
      </c>
      <c r="AV663" s="2216" t="s">
        <v>856</v>
      </c>
      <c r="AW663" s="2216" t="s">
        <v>3171</v>
      </c>
      <c r="AX663" s="2216" t="s">
        <v>133</v>
      </c>
      <c r="AY663" s="2218" t="s">
        <v>3285</v>
      </c>
    </row>
    <row r="664" spans="2:65" s="2070" customFormat="1" ht="24.2" customHeight="1">
      <c r="B664" s="2164"/>
      <c r="C664" s="4608" t="s">
        <v>3913</v>
      </c>
      <c r="D664" s="4608" t="s">
        <v>3286</v>
      </c>
      <c r="E664" s="4609" t="s">
        <v>11187</v>
      </c>
      <c r="F664" s="4610" t="s">
        <v>11188</v>
      </c>
      <c r="G664" s="4611" t="s">
        <v>611</v>
      </c>
      <c r="H664" s="4612">
        <v>9.6720000000000006</v>
      </c>
      <c r="I664" s="4613"/>
      <c r="J664" s="4613">
        <f>ROUND(I664*H664,2)</f>
        <v>0</v>
      </c>
      <c r="K664" s="4610" t="s">
        <v>142</v>
      </c>
      <c r="L664" s="2071"/>
      <c r="M664" s="2190" t="s">
        <v>3146</v>
      </c>
      <c r="N664" s="2163" t="s">
        <v>3181</v>
      </c>
      <c r="O664" s="2191">
        <v>0.69899999999999995</v>
      </c>
      <c r="P664" s="2191">
        <f>O664*H664</f>
        <v>6.7607280000000003</v>
      </c>
      <c r="Q664" s="2191">
        <v>1.324E-2</v>
      </c>
      <c r="R664" s="2191">
        <f>Q664*H664</f>
        <v>0.12805728</v>
      </c>
      <c r="S664" s="2191">
        <v>0</v>
      </c>
      <c r="T664" s="2192">
        <f>S664*H664</f>
        <v>0</v>
      </c>
      <c r="AR664" s="2193" t="s">
        <v>2894</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2894</v>
      </c>
      <c r="BM664" s="2193" t="s">
        <v>11189</v>
      </c>
    </row>
    <row r="665" spans="2:65" s="2195" customFormat="1">
      <c r="B665" s="2196"/>
      <c r="D665" s="2197" t="s">
        <v>3303</v>
      </c>
      <c r="E665" s="2198" t="s">
        <v>3146</v>
      </c>
      <c r="F665" s="2199" t="s">
        <v>3661</v>
      </c>
      <c r="H665" s="2198" t="s">
        <v>3146</v>
      </c>
      <c r="L665" s="2196"/>
      <c r="M665" s="2200"/>
      <c r="T665" s="2201"/>
      <c r="AT665" s="2198" t="s">
        <v>3303</v>
      </c>
      <c r="AU665" s="2198" t="s">
        <v>134</v>
      </c>
      <c r="AV665" s="2195" t="s">
        <v>133</v>
      </c>
      <c r="AW665" s="2195" t="s">
        <v>3171</v>
      </c>
      <c r="AX665" s="2195" t="s">
        <v>3213</v>
      </c>
      <c r="AY665" s="2198" t="s">
        <v>3285</v>
      </c>
    </row>
    <row r="666" spans="2:65" s="2209" customFormat="1">
      <c r="B666" s="2210"/>
      <c r="D666" s="2197" t="s">
        <v>3303</v>
      </c>
      <c r="E666" s="2211" t="s">
        <v>3146</v>
      </c>
      <c r="F666" s="2212" t="s">
        <v>11190</v>
      </c>
      <c r="H666" s="2213">
        <v>9.6720000000000006</v>
      </c>
      <c r="L666" s="2210"/>
      <c r="M666" s="2214"/>
      <c r="T666" s="2215"/>
      <c r="AT666" s="2211" t="s">
        <v>3303</v>
      </c>
      <c r="AU666" s="2211" t="s">
        <v>134</v>
      </c>
      <c r="AV666" s="2209" t="s">
        <v>134</v>
      </c>
      <c r="AW666" s="2209" t="s">
        <v>3171</v>
      </c>
      <c r="AX666" s="2209" t="s">
        <v>3213</v>
      </c>
      <c r="AY666" s="2211" t="s">
        <v>3285</v>
      </c>
    </row>
    <row r="667" spans="2:65" s="2216" customFormat="1">
      <c r="B667" s="2217"/>
      <c r="D667" s="2197" t="s">
        <v>3303</v>
      </c>
      <c r="E667" s="2218" t="s">
        <v>3146</v>
      </c>
      <c r="F667" s="2219" t="s">
        <v>3306</v>
      </c>
      <c r="H667" s="2220">
        <v>9.6720000000000006</v>
      </c>
      <c r="L667" s="2217"/>
      <c r="M667" s="2221"/>
      <c r="T667" s="2222"/>
      <c r="AT667" s="2218" t="s">
        <v>3303</v>
      </c>
      <c r="AU667" s="2218" t="s">
        <v>134</v>
      </c>
      <c r="AV667" s="2216" t="s">
        <v>856</v>
      </c>
      <c r="AW667" s="2216" t="s">
        <v>3171</v>
      </c>
      <c r="AX667" s="2216" t="s">
        <v>133</v>
      </c>
      <c r="AY667" s="2218" t="s">
        <v>3285</v>
      </c>
    </row>
    <row r="668" spans="2:65" s="2070" customFormat="1" ht="24.2" customHeight="1">
      <c r="B668" s="2164"/>
      <c r="C668" s="4608" t="s">
        <v>3917</v>
      </c>
      <c r="D668" s="4608" t="s">
        <v>3286</v>
      </c>
      <c r="E668" s="4609" t="s">
        <v>11191</v>
      </c>
      <c r="F668" s="4610" t="s">
        <v>11192</v>
      </c>
      <c r="G668" s="4611" t="s">
        <v>611</v>
      </c>
      <c r="H668" s="4612">
        <v>213.45500000000001</v>
      </c>
      <c r="I668" s="4613"/>
      <c r="J668" s="4613">
        <f>ROUND(I668*H668,2)</f>
        <v>0</v>
      </c>
      <c r="K668" s="4610" t="s">
        <v>142</v>
      </c>
      <c r="L668" s="2071"/>
      <c r="M668" s="2190" t="s">
        <v>3146</v>
      </c>
      <c r="N668" s="2163" t="s">
        <v>3181</v>
      </c>
      <c r="O668" s="2191">
        <v>0.88700000000000001</v>
      </c>
      <c r="P668" s="2191">
        <f>O668*H668</f>
        <v>189.334585</v>
      </c>
      <c r="Q668" s="2191">
        <v>1.413E-2</v>
      </c>
      <c r="R668" s="2191">
        <f>Q668*H668</f>
        <v>3.0161191500000002</v>
      </c>
      <c r="S668" s="2191">
        <v>0</v>
      </c>
      <c r="T668" s="2192">
        <f>S668*H668</f>
        <v>0</v>
      </c>
      <c r="AR668" s="2193" t="s">
        <v>2894</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2894</v>
      </c>
      <c r="BM668" s="2193" t="s">
        <v>11193</v>
      </c>
    </row>
    <row r="669" spans="2:65" s="2195" customFormat="1">
      <c r="B669" s="2196"/>
      <c r="D669" s="2197" t="s">
        <v>3303</v>
      </c>
      <c r="E669" s="2198" t="s">
        <v>3146</v>
      </c>
      <c r="F669" s="2199" t="s">
        <v>3517</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11194</v>
      </c>
      <c r="H670" s="2213">
        <v>1.734</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3661</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11195</v>
      </c>
      <c r="H672" s="2213">
        <v>57.341999999999999</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3578</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11196</v>
      </c>
      <c r="H674" s="2213">
        <v>71.555999999999997</v>
      </c>
      <c r="L674" s="2210"/>
      <c r="M674" s="2214"/>
      <c r="T674" s="2215"/>
      <c r="AT674" s="2211" t="s">
        <v>3303</v>
      </c>
      <c r="AU674" s="2211" t="s">
        <v>134</v>
      </c>
      <c r="AV674" s="2209" t="s">
        <v>134</v>
      </c>
      <c r="AW674" s="2209" t="s">
        <v>3171</v>
      </c>
      <c r="AX674" s="2209" t="s">
        <v>3213</v>
      </c>
      <c r="AY674" s="2211" t="s">
        <v>3285</v>
      </c>
    </row>
    <row r="675" spans="2:65" s="2195" customFormat="1">
      <c r="B675" s="2196"/>
      <c r="D675" s="2197" t="s">
        <v>3303</v>
      </c>
      <c r="E675" s="2198" t="s">
        <v>3146</v>
      </c>
      <c r="F675" s="2199" t="s">
        <v>3580</v>
      </c>
      <c r="H675" s="2198" t="s">
        <v>3146</v>
      </c>
      <c r="L675" s="2196"/>
      <c r="M675" s="2200"/>
      <c r="T675" s="2201"/>
      <c r="AT675" s="2198" t="s">
        <v>3303</v>
      </c>
      <c r="AU675" s="2198" t="s">
        <v>134</v>
      </c>
      <c r="AV675" s="2195" t="s">
        <v>133</v>
      </c>
      <c r="AW675" s="2195" t="s">
        <v>3171</v>
      </c>
      <c r="AX675" s="2195" t="s">
        <v>3213</v>
      </c>
      <c r="AY675" s="2198" t="s">
        <v>3285</v>
      </c>
    </row>
    <row r="676" spans="2:65" s="2209" customFormat="1">
      <c r="B676" s="2210"/>
      <c r="D676" s="2197" t="s">
        <v>3303</v>
      </c>
      <c r="E676" s="2211" t="s">
        <v>3146</v>
      </c>
      <c r="F676" s="2212" t="s">
        <v>11197</v>
      </c>
      <c r="H676" s="2213">
        <v>82.822999999999993</v>
      </c>
      <c r="L676" s="2210"/>
      <c r="M676" s="2214"/>
      <c r="T676" s="2215"/>
      <c r="AT676" s="2211" t="s">
        <v>3303</v>
      </c>
      <c r="AU676" s="2211" t="s">
        <v>134</v>
      </c>
      <c r="AV676" s="2209" t="s">
        <v>134</v>
      </c>
      <c r="AW676" s="2209" t="s">
        <v>3171</v>
      </c>
      <c r="AX676" s="2209" t="s">
        <v>3213</v>
      </c>
      <c r="AY676" s="2211" t="s">
        <v>3285</v>
      </c>
    </row>
    <row r="677" spans="2:65" s="2216" customFormat="1">
      <c r="B677" s="2217"/>
      <c r="D677" s="2197" t="s">
        <v>3303</v>
      </c>
      <c r="E677" s="2218" t="s">
        <v>3146</v>
      </c>
      <c r="F677" s="2219" t="s">
        <v>3306</v>
      </c>
      <c r="H677" s="2220">
        <v>213.45500000000001</v>
      </c>
      <c r="L677" s="2217"/>
      <c r="M677" s="2221"/>
      <c r="T677" s="2222"/>
      <c r="AT677" s="2218" t="s">
        <v>3303</v>
      </c>
      <c r="AU677" s="2218" t="s">
        <v>134</v>
      </c>
      <c r="AV677" s="2216" t="s">
        <v>856</v>
      </c>
      <c r="AW677" s="2216" t="s">
        <v>3171</v>
      </c>
      <c r="AX677" s="2216" t="s">
        <v>133</v>
      </c>
      <c r="AY677" s="2218" t="s">
        <v>3285</v>
      </c>
    </row>
    <row r="678" spans="2:65" s="2070" customFormat="1" ht="37.9" customHeight="1">
      <c r="B678" s="2164"/>
      <c r="C678" s="4608" t="s">
        <v>3922</v>
      </c>
      <c r="D678" s="4608" t="s">
        <v>3286</v>
      </c>
      <c r="E678" s="4609" t="s">
        <v>11198</v>
      </c>
      <c r="F678" s="4610" t="s">
        <v>11199</v>
      </c>
      <c r="G678" s="4611" t="s">
        <v>611</v>
      </c>
      <c r="H678" s="4612">
        <v>56.73</v>
      </c>
      <c r="I678" s="4613"/>
      <c r="J678" s="4613">
        <f>ROUND(I678*H678,2)</f>
        <v>0</v>
      </c>
      <c r="K678" s="4610" t="s">
        <v>142</v>
      </c>
      <c r="L678" s="2071"/>
      <c r="M678" s="2190" t="s">
        <v>3146</v>
      </c>
      <c r="N678" s="2163" t="s">
        <v>3181</v>
      </c>
      <c r="O678" s="2191">
        <v>2.2890000000000001</v>
      </c>
      <c r="P678" s="2191">
        <f>O678*H678</f>
        <v>129.85497000000001</v>
      </c>
      <c r="Q678" s="2191">
        <v>5.8369999999999998E-2</v>
      </c>
      <c r="R678" s="2191">
        <f>Q678*H678</f>
        <v>3.3113300999999997</v>
      </c>
      <c r="S678" s="2191">
        <v>0</v>
      </c>
      <c r="T678" s="2192">
        <f>S678*H678</f>
        <v>0</v>
      </c>
      <c r="AR678" s="2193" t="s">
        <v>2894</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2894</v>
      </c>
      <c r="BM678" s="2193" t="s">
        <v>11200</v>
      </c>
    </row>
    <row r="679" spans="2:65" s="2195" customFormat="1">
      <c r="B679" s="2196"/>
      <c r="D679" s="2197" t="s">
        <v>3303</v>
      </c>
      <c r="E679" s="2198" t="s">
        <v>3146</v>
      </c>
      <c r="F679" s="2199" t="s">
        <v>3578</v>
      </c>
      <c r="H679" s="2198" t="s">
        <v>3146</v>
      </c>
      <c r="L679" s="2196"/>
      <c r="M679" s="2200"/>
      <c r="T679" s="2201"/>
      <c r="AT679" s="2198" t="s">
        <v>3303</v>
      </c>
      <c r="AU679" s="2198" t="s">
        <v>134</v>
      </c>
      <c r="AV679" s="2195" t="s">
        <v>133</v>
      </c>
      <c r="AW679" s="2195" t="s">
        <v>3171</v>
      </c>
      <c r="AX679" s="2195" t="s">
        <v>3213</v>
      </c>
      <c r="AY679" s="2198" t="s">
        <v>3285</v>
      </c>
    </row>
    <row r="680" spans="2:65" s="2209" customFormat="1">
      <c r="B680" s="2210"/>
      <c r="D680" s="2197" t="s">
        <v>3303</v>
      </c>
      <c r="E680" s="2211" t="s">
        <v>3146</v>
      </c>
      <c r="F680" s="2212" t="s">
        <v>11201</v>
      </c>
      <c r="H680" s="2213">
        <v>35.340000000000003</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11202</v>
      </c>
      <c r="H681" s="2213">
        <v>21.39</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56.73</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t="s">
        <v>3926</v>
      </c>
      <c r="D683" s="4608" t="s">
        <v>3286</v>
      </c>
      <c r="E683" s="4609" t="s">
        <v>5077</v>
      </c>
      <c r="F683" s="4610" t="s">
        <v>5078</v>
      </c>
      <c r="G683" s="4611" t="s">
        <v>611</v>
      </c>
      <c r="H683" s="4612">
        <v>75.2</v>
      </c>
      <c r="I683" s="4613"/>
      <c r="J683" s="4613">
        <f>ROUND(I683*H683,2)</f>
        <v>0</v>
      </c>
      <c r="K683" s="4610" t="s">
        <v>142</v>
      </c>
      <c r="L683" s="2071"/>
      <c r="M683" s="2190" t="s">
        <v>3146</v>
      </c>
      <c r="N683" s="2163" t="s">
        <v>3181</v>
      </c>
      <c r="O683" s="2191">
        <v>1.617</v>
      </c>
      <c r="P683" s="2191">
        <f>O683*H683</f>
        <v>121.5984</v>
      </c>
      <c r="Q683" s="2191">
        <v>4.589E-2</v>
      </c>
      <c r="R683" s="2191">
        <f>Q683*H683</f>
        <v>3.4509280000000002</v>
      </c>
      <c r="S683" s="2191">
        <v>0</v>
      </c>
      <c r="T683" s="2192">
        <f>S683*H683</f>
        <v>0</v>
      </c>
      <c r="AR683" s="2193" t="s">
        <v>2894</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2894</v>
      </c>
      <c r="BM683" s="2193" t="s">
        <v>5079</v>
      </c>
    </row>
    <row r="684" spans="2:65" s="2209" customFormat="1">
      <c r="B684" s="2210"/>
      <c r="D684" s="2197" t="s">
        <v>3303</v>
      </c>
      <c r="E684" s="2211" t="s">
        <v>3146</v>
      </c>
      <c r="F684" s="2212" t="s">
        <v>5080</v>
      </c>
      <c r="H684" s="2213">
        <v>75.2</v>
      </c>
      <c r="L684" s="2210"/>
      <c r="M684" s="2214"/>
      <c r="T684" s="2215"/>
      <c r="AT684" s="2211" t="s">
        <v>3303</v>
      </c>
      <c r="AU684" s="2211" t="s">
        <v>134</v>
      </c>
      <c r="AV684" s="2209" t="s">
        <v>134</v>
      </c>
      <c r="AW684" s="2209" t="s">
        <v>3171</v>
      </c>
      <c r="AX684" s="2209" t="s">
        <v>3213</v>
      </c>
      <c r="AY684" s="2211" t="s">
        <v>3285</v>
      </c>
    </row>
    <row r="685" spans="2:65" s="2216" customFormat="1">
      <c r="B685" s="2217"/>
      <c r="D685" s="2197" t="s">
        <v>3303</v>
      </c>
      <c r="E685" s="2218" t="s">
        <v>3146</v>
      </c>
      <c r="F685" s="2219" t="s">
        <v>3306</v>
      </c>
      <c r="H685" s="2220">
        <v>75.2</v>
      </c>
      <c r="L685" s="2217"/>
      <c r="M685" s="2221"/>
      <c r="T685" s="2222"/>
      <c r="AT685" s="2218" t="s">
        <v>3303</v>
      </c>
      <c r="AU685" s="2218" t="s">
        <v>134</v>
      </c>
      <c r="AV685" s="2216" t="s">
        <v>856</v>
      </c>
      <c r="AW685" s="2216" t="s">
        <v>3171</v>
      </c>
      <c r="AX685" s="2216" t="s">
        <v>133</v>
      </c>
      <c r="AY685" s="2218" t="s">
        <v>3285</v>
      </c>
    </row>
    <row r="686" spans="2:65" s="2070" customFormat="1" ht="24.2" customHeight="1">
      <c r="B686" s="2164"/>
      <c r="C686" s="4608" t="s">
        <v>3929</v>
      </c>
      <c r="D686" s="4608" t="s">
        <v>3286</v>
      </c>
      <c r="E686" s="4609" t="s">
        <v>11203</v>
      </c>
      <c r="F686" s="4610" t="s">
        <v>11204</v>
      </c>
      <c r="G686" s="4611" t="s">
        <v>611</v>
      </c>
      <c r="H686" s="4612">
        <v>10</v>
      </c>
      <c r="I686" s="4613"/>
      <c r="J686" s="4613">
        <f>ROUND(I686*H686,2)</f>
        <v>0</v>
      </c>
      <c r="K686" s="4610" t="s">
        <v>142</v>
      </c>
      <c r="L686" s="2071"/>
      <c r="M686" s="2190" t="s">
        <v>3146</v>
      </c>
      <c r="N686" s="2163" t="s">
        <v>3181</v>
      </c>
      <c r="O686" s="2191">
        <v>1.02</v>
      </c>
      <c r="P686" s="2191">
        <f>O686*H686</f>
        <v>10.199999999999999</v>
      </c>
      <c r="Q686" s="2191">
        <v>1.566E-2</v>
      </c>
      <c r="R686" s="2191">
        <f>Q686*H686</f>
        <v>0.15660000000000002</v>
      </c>
      <c r="S686" s="2191">
        <v>0</v>
      </c>
      <c r="T686" s="2192">
        <f>S686*H686</f>
        <v>0</v>
      </c>
      <c r="AR686" s="2193" t="s">
        <v>2894</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2894</v>
      </c>
      <c r="BM686" s="2193" t="s">
        <v>11205</v>
      </c>
    </row>
    <row r="687" spans="2:65" s="2195" customFormat="1">
      <c r="B687" s="2196"/>
      <c r="D687" s="2197" t="s">
        <v>3303</v>
      </c>
      <c r="E687" s="2198" t="s">
        <v>3146</v>
      </c>
      <c r="F687" s="2199" t="s">
        <v>11206</v>
      </c>
      <c r="H687" s="2198" t="s">
        <v>3146</v>
      </c>
      <c r="L687" s="2196"/>
      <c r="M687" s="2200"/>
      <c r="T687" s="2201"/>
      <c r="AT687" s="2198" t="s">
        <v>3303</v>
      </c>
      <c r="AU687" s="2198" t="s">
        <v>134</v>
      </c>
      <c r="AV687" s="2195" t="s">
        <v>133</v>
      </c>
      <c r="AW687" s="2195" t="s">
        <v>3171</v>
      </c>
      <c r="AX687" s="2195" t="s">
        <v>3213</v>
      </c>
      <c r="AY687" s="2198" t="s">
        <v>3285</v>
      </c>
    </row>
    <row r="688" spans="2:65" s="2209" customFormat="1">
      <c r="B688" s="2210"/>
      <c r="D688" s="2197" t="s">
        <v>3303</v>
      </c>
      <c r="E688" s="2211" t="s">
        <v>3146</v>
      </c>
      <c r="F688" s="2212" t="s">
        <v>11207</v>
      </c>
      <c r="H688" s="2213">
        <v>10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10</v>
      </c>
      <c r="L689" s="2217"/>
      <c r="M689" s="2221"/>
      <c r="T689" s="2222"/>
      <c r="AT689" s="2218" t="s">
        <v>3303</v>
      </c>
      <c r="AU689" s="2218" t="s">
        <v>134</v>
      </c>
      <c r="AV689" s="2216" t="s">
        <v>856</v>
      </c>
      <c r="AW689" s="2216" t="s">
        <v>3171</v>
      </c>
      <c r="AX689" s="2216" t="s">
        <v>133</v>
      </c>
      <c r="AY689" s="2218" t="s">
        <v>3285</v>
      </c>
    </row>
    <row r="690" spans="2:65" s="2070" customFormat="1" ht="21.75" customHeight="1">
      <c r="B690" s="2164"/>
      <c r="C690" s="4608" t="s">
        <v>3933</v>
      </c>
      <c r="D690" s="4608" t="s">
        <v>3286</v>
      </c>
      <c r="E690" s="4609" t="s">
        <v>11208</v>
      </c>
      <c r="F690" s="4610" t="s">
        <v>11209</v>
      </c>
      <c r="G690" s="4611" t="s">
        <v>611</v>
      </c>
      <c r="H690" s="4612">
        <v>28.65</v>
      </c>
      <c r="I690" s="4613"/>
      <c r="J690" s="4613">
        <f>ROUND(I690*H690,2)</f>
        <v>0</v>
      </c>
      <c r="K690" s="4610" t="s">
        <v>142</v>
      </c>
      <c r="L690" s="2071"/>
      <c r="M690" s="2190" t="s">
        <v>3146</v>
      </c>
      <c r="N690" s="2163" t="s">
        <v>3181</v>
      </c>
      <c r="O690" s="2191">
        <v>1.02</v>
      </c>
      <c r="P690" s="2191">
        <f>O690*H690</f>
        <v>29.222999999999999</v>
      </c>
      <c r="Q690" s="2191">
        <v>1.393E-2</v>
      </c>
      <c r="R690" s="2191">
        <f>Q690*H690</f>
        <v>0.39909449999999996</v>
      </c>
      <c r="S690" s="2191">
        <v>0</v>
      </c>
      <c r="T690" s="2192">
        <f>S690*H690</f>
        <v>0</v>
      </c>
      <c r="AR690" s="2193" t="s">
        <v>2894</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2894</v>
      </c>
      <c r="BM690" s="2193" t="s">
        <v>11210</v>
      </c>
    </row>
    <row r="691" spans="2:65" s="2195" customFormat="1">
      <c r="B691" s="2196"/>
      <c r="D691" s="2197" t="s">
        <v>3303</v>
      </c>
      <c r="E691" s="2198" t="s">
        <v>3146</v>
      </c>
      <c r="F691" s="2199" t="s">
        <v>11211</v>
      </c>
      <c r="H691" s="2198" t="s">
        <v>3146</v>
      </c>
      <c r="L691" s="2196"/>
      <c r="M691" s="2200"/>
      <c r="T691" s="2201"/>
      <c r="AT691" s="2198" t="s">
        <v>3303</v>
      </c>
      <c r="AU691" s="2198" t="s">
        <v>134</v>
      </c>
      <c r="AV691" s="2195" t="s">
        <v>133</v>
      </c>
      <c r="AW691" s="2195" t="s">
        <v>3171</v>
      </c>
      <c r="AX691" s="2195" t="s">
        <v>3213</v>
      </c>
      <c r="AY691" s="2198" t="s">
        <v>3285</v>
      </c>
    </row>
    <row r="692" spans="2:65" s="2209" customFormat="1">
      <c r="B692" s="2210"/>
      <c r="D692" s="2197" t="s">
        <v>3303</v>
      </c>
      <c r="E692" s="2211" t="s">
        <v>3146</v>
      </c>
      <c r="F692" s="2212" t="s">
        <v>11212</v>
      </c>
      <c r="H692" s="2213">
        <v>8.35</v>
      </c>
      <c r="L692" s="2210"/>
      <c r="M692" s="2214"/>
      <c r="T692" s="2215"/>
      <c r="AT692" s="2211" t="s">
        <v>3303</v>
      </c>
      <c r="AU692" s="2211" t="s">
        <v>134</v>
      </c>
      <c r="AV692" s="2209" t="s">
        <v>134</v>
      </c>
      <c r="AW692" s="2209" t="s">
        <v>3171</v>
      </c>
      <c r="AX692" s="2209" t="s">
        <v>3213</v>
      </c>
      <c r="AY692" s="2211" t="s">
        <v>3285</v>
      </c>
    </row>
    <row r="693" spans="2:65" s="2209" customFormat="1">
      <c r="B693" s="2210"/>
      <c r="D693" s="2197" t="s">
        <v>3303</v>
      </c>
      <c r="E693" s="2211" t="s">
        <v>3146</v>
      </c>
      <c r="F693" s="2212" t="s">
        <v>11213</v>
      </c>
      <c r="H693" s="2213">
        <v>17.8</v>
      </c>
      <c r="L693" s="2210"/>
      <c r="M693" s="2214"/>
      <c r="T693" s="2215"/>
      <c r="AT693" s="2211" t="s">
        <v>3303</v>
      </c>
      <c r="AU693" s="2211" t="s">
        <v>134</v>
      </c>
      <c r="AV693" s="2209" t="s">
        <v>134</v>
      </c>
      <c r="AW693" s="2209" t="s">
        <v>3171</v>
      </c>
      <c r="AX693" s="2209" t="s">
        <v>3213</v>
      </c>
      <c r="AY693" s="2211" t="s">
        <v>3285</v>
      </c>
    </row>
    <row r="694" spans="2:65" s="2209" customFormat="1">
      <c r="B694" s="2210"/>
      <c r="D694" s="2197" t="s">
        <v>3303</v>
      </c>
      <c r="E694" s="2211" t="s">
        <v>3146</v>
      </c>
      <c r="F694" s="2212" t="s">
        <v>11214</v>
      </c>
      <c r="H694" s="2213">
        <v>2.5</v>
      </c>
      <c r="L694" s="2210"/>
      <c r="M694" s="2214"/>
      <c r="T694" s="2215"/>
      <c r="AT694" s="2211" t="s">
        <v>3303</v>
      </c>
      <c r="AU694" s="2211" t="s">
        <v>134</v>
      </c>
      <c r="AV694" s="2209" t="s">
        <v>134</v>
      </c>
      <c r="AW694" s="2209" t="s">
        <v>3171</v>
      </c>
      <c r="AX694" s="2209" t="s">
        <v>3213</v>
      </c>
      <c r="AY694" s="2211" t="s">
        <v>3285</v>
      </c>
    </row>
    <row r="695" spans="2:65" s="2216" customFormat="1">
      <c r="B695" s="2217"/>
      <c r="D695" s="2197" t="s">
        <v>3303</v>
      </c>
      <c r="E695" s="2218" t="s">
        <v>3146</v>
      </c>
      <c r="F695" s="2219" t="s">
        <v>3306</v>
      </c>
      <c r="H695" s="2220">
        <v>28.65</v>
      </c>
      <c r="L695" s="2217"/>
      <c r="M695" s="2221"/>
      <c r="T695" s="2222"/>
      <c r="AT695" s="2218" t="s">
        <v>3303</v>
      </c>
      <c r="AU695" s="2218" t="s">
        <v>134</v>
      </c>
      <c r="AV695" s="2216" t="s">
        <v>856</v>
      </c>
      <c r="AW695" s="2216" t="s">
        <v>3171</v>
      </c>
      <c r="AX695" s="2216" t="s">
        <v>133</v>
      </c>
      <c r="AY695" s="2218" t="s">
        <v>3285</v>
      </c>
    </row>
    <row r="696" spans="2:65" s="2070" customFormat="1" ht="24.2" customHeight="1">
      <c r="B696" s="2164"/>
      <c r="C696" s="4608" t="s">
        <v>3934</v>
      </c>
      <c r="D696" s="4608" t="s">
        <v>3286</v>
      </c>
      <c r="E696" s="4609" t="s">
        <v>11215</v>
      </c>
      <c r="F696" s="4610" t="s">
        <v>11216</v>
      </c>
      <c r="G696" s="4611" t="s">
        <v>611</v>
      </c>
      <c r="H696" s="4612">
        <v>100.8</v>
      </c>
      <c r="I696" s="4613"/>
      <c r="J696" s="4613">
        <f>ROUND(I696*H696,2)</f>
        <v>0</v>
      </c>
      <c r="K696" s="4610" t="s">
        <v>142</v>
      </c>
      <c r="L696" s="2071"/>
      <c r="M696" s="2190" t="s">
        <v>3146</v>
      </c>
      <c r="N696" s="2163" t="s">
        <v>3181</v>
      </c>
      <c r="O696" s="2191">
        <v>1.242</v>
      </c>
      <c r="P696" s="2191">
        <f>O696*H696</f>
        <v>125.19359999999999</v>
      </c>
      <c r="Q696" s="2191">
        <v>1.5299999999999999E-2</v>
      </c>
      <c r="R696" s="2191">
        <f>Q696*H696</f>
        <v>1.5422399999999998</v>
      </c>
      <c r="S696" s="2191">
        <v>0</v>
      </c>
      <c r="T696" s="2192">
        <f>S696*H696</f>
        <v>0</v>
      </c>
      <c r="AR696" s="2193" t="s">
        <v>2894</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2894</v>
      </c>
      <c r="BM696" s="2193" t="s">
        <v>11217</v>
      </c>
    </row>
    <row r="697" spans="2:65" s="2070" customFormat="1" ht="24.2" customHeight="1">
      <c r="B697" s="2164"/>
      <c r="C697" s="4608" t="s">
        <v>3935</v>
      </c>
      <c r="D697" s="4608" t="s">
        <v>3286</v>
      </c>
      <c r="E697" s="4609" t="s">
        <v>11218</v>
      </c>
      <c r="F697" s="4610" t="s">
        <v>11219</v>
      </c>
      <c r="G697" s="4611" t="s">
        <v>611</v>
      </c>
      <c r="H697" s="4612">
        <v>100.8</v>
      </c>
      <c r="I697" s="4613"/>
      <c r="J697" s="4613">
        <f>ROUND(I697*H697,2)</f>
        <v>0</v>
      </c>
      <c r="K697" s="4610" t="s">
        <v>142</v>
      </c>
      <c r="L697" s="2071"/>
      <c r="M697" s="2190" t="s">
        <v>3146</v>
      </c>
      <c r="N697" s="2163" t="s">
        <v>3181</v>
      </c>
      <c r="O697" s="2191">
        <v>1.577</v>
      </c>
      <c r="P697" s="2191">
        <f>O697*H697</f>
        <v>158.9616</v>
      </c>
      <c r="Q697" s="2191">
        <v>1.472E-2</v>
      </c>
      <c r="R697" s="2191">
        <f>Q697*H697</f>
        <v>1.483776</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11220</v>
      </c>
    </row>
    <row r="698" spans="2:65" s="2209" customFormat="1">
      <c r="B698" s="2210"/>
      <c r="D698" s="2197" t="s">
        <v>3303</v>
      </c>
      <c r="E698" s="2211" t="s">
        <v>3146</v>
      </c>
      <c r="F698" s="2212" t="s">
        <v>11221</v>
      </c>
      <c r="H698" s="2213">
        <v>100.8</v>
      </c>
      <c r="L698" s="2210"/>
      <c r="M698" s="2214"/>
      <c r="T698" s="2215"/>
      <c r="AT698" s="2211" t="s">
        <v>3303</v>
      </c>
      <c r="AU698" s="2211" t="s">
        <v>134</v>
      </c>
      <c r="AV698" s="2209" t="s">
        <v>134</v>
      </c>
      <c r="AW698" s="2209" t="s">
        <v>3171</v>
      </c>
      <c r="AX698" s="2209" t="s">
        <v>133</v>
      </c>
      <c r="AY698" s="2211" t="s">
        <v>3285</v>
      </c>
    </row>
    <row r="699" spans="2:65" s="2070" customFormat="1" ht="33" customHeight="1">
      <c r="B699" s="2164"/>
      <c r="C699" s="4608" t="s">
        <v>3936</v>
      </c>
      <c r="D699" s="4608" t="s">
        <v>3286</v>
      </c>
      <c r="E699" s="4609" t="s">
        <v>5082</v>
      </c>
      <c r="F699" s="4610" t="s">
        <v>5083</v>
      </c>
      <c r="G699" s="4611" t="s">
        <v>155</v>
      </c>
      <c r="H699" s="4612">
        <v>47</v>
      </c>
      <c r="I699" s="4613"/>
      <c r="J699" s="4613">
        <f>ROUND(I699*H699,2)</f>
        <v>0</v>
      </c>
      <c r="K699" s="4610" t="s">
        <v>142</v>
      </c>
      <c r="L699" s="2071"/>
      <c r="M699" s="2190" t="s">
        <v>3146</v>
      </c>
      <c r="N699" s="2163" t="s">
        <v>3181</v>
      </c>
      <c r="O699" s="2191">
        <v>3.47</v>
      </c>
      <c r="P699" s="2191">
        <f>O699*H699</f>
        <v>163.09</v>
      </c>
      <c r="Q699" s="2191">
        <v>0</v>
      </c>
      <c r="R699" s="2191">
        <f>Q699*H699</f>
        <v>0</v>
      </c>
      <c r="S699" s="2191">
        <v>0</v>
      </c>
      <c r="T699" s="2192">
        <f>S699*H699</f>
        <v>0</v>
      </c>
      <c r="AR699" s="2193" t="s">
        <v>2894</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2894</v>
      </c>
      <c r="BM699" s="2193" t="s">
        <v>5084</v>
      </c>
    </row>
    <row r="700" spans="2:65" s="2209" customFormat="1">
      <c r="B700" s="2210"/>
      <c r="D700" s="2197" t="s">
        <v>3303</v>
      </c>
      <c r="E700" s="2211" t="s">
        <v>3146</v>
      </c>
      <c r="F700" s="2212" t="s">
        <v>5085</v>
      </c>
      <c r="H700" s="2213">
        <v>47</v>
      </c>
      <c r="L700" s="2210"/>
      <c r="M700" s="2214"/>
      <c r="T700" s="2215"/>
      <c r="AT700" s="2211" t="s">
        <v>3303</v>
      </c>
      <c r="AU700" s="2211" t="s">
        <v>134</v>
      </c>
      <c r="AV700" s="2209" t="s">
        <v>134</v>
      </c>
      <c r="AW700" s="2209" t="s">
        <v>3171</v>
      </c>
      <c r="AX700" s="2209" t="s">
        <v>3213</v>
      </c>
      <c r="AY700" s="2211" t="s">
        <v>3285</v>
      </c>
    </row>
    <row r="701" spans="2:65" s="2216" customFormat="1">
      <c r="B701" s="2217"/>
      <c r="D701" s="2197" t="s">
        <v>3303</v>
      </c>
      <c r="E701" s="2218" t="s">
        <v>3146</v>
      </c>
      <c r="F701" s="2219" t="s">
        <v>3306</v>
      </c>
      <c r="H701" s="2220">
        <v>47</v>
      </c>
      <c r="L701" s="2217"/>
      <c r="M701" s="2221"/>
      <c r="T701" s="2222"/>
      <c r="AT701" s="2218" t="s">
        <v>3303</v>
      </c>
      <c r="AU701" s="2218" t="s">
        <v>134</v>
      </c>
      <c r="AV701" s="2216" t="s">
        <v>856</v>
      </c>
      <c r="AW701" s="2216" t="s">
        <v>3171</v>
      </c>
      <c r="AX701" s="2216" t="s">
        <v>133</v>
      </c>
      <c r="AY701" s="2218" t="s">
        <v>3285</v>
      </c>
    </row>
    <row r="702" spans="2:65" s="2070" customFormat="1" ht="24.2" customHeight="1">
      <c r="B702" s="2164"/>
      <c r="C702" s="4614" t="s">
        <v>3943</v>
      </c>
      <c r="D702" s="4614" t="s">
        <v>135</v>
      </c>
      <c r="E702" s="4615" t="s">
        <v>5087</v>
      </c>
      <c r="F702" s="4616" t="s">
        <v>5088</v>
      </c>
      <c r="G702" s="4617" t="s">
        <v>155</v>
      </c>
      <c r="H702" s="4618">
        <v>11</v>
      </c>
      <c r="I702" s="4619"/>
      <c r="J702" s="4619">
        <f>ROUND(I702*H702,2)</f>
        <v>0</v>
      </c>
      <c r="K702" s="4616" t="s">
        <v>142</v>
      </c>
      <c r="L702" s="2223"/>
      <c r="M702" s="2224" t="s">
        <v>3146</v>
      </c>
      <c r="N702" s="2225" t="s">
        <v>3181</v>
      </c>
      <c r="O702" s="2191">
        <v>0</v>
      </c>
      <c r="P702" s="2191">
        <f>O702*H702</f>
        <v>0</v>
      </c>
      <c r="Q702" s="2191">
        <v>4.2500000000000003E-2</v>
      </c>
      <c r="R702" s="2191">
        <f>Q702*H702</f>
        <v>0.46750000000000003</v>
      </c>
      <c r="S702" s="2191">
        <v>0</v>
      </c>
      <c r="T702" s="2192">
        <f>S702*H702</f>
        <v>0</v>
      </c>
      <c r="AR702" s="2193" t="s">
        <v>3389</v>
      </c>
      <c r="AT702" s="2193" t="s">
        <v>135</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2894</v>
      </c>
      <c r="BM702" s="2193" t="s">
        <v>5089</v>
      </c>
    </row>
    <row r="703" spans="2:65" s="2209" customFormat="1">
      <c r="B703" s="2210"/>
      <c r="D703" s="2197" t="s">
        <v>3303</v>
      </c>
      <c r="E703" s="2211" t="s">
        <v>3146</v>
      </c>
      <c r="F703" s="2212" t="s">
        <v>5090</v>
      </c>
      <c r="H703" s="2213">
        <v>11</v>
      </c>
      <c r="L703" s="2210"/>
      <c r="M703" s="2214"/>
      <c r="T703" s="2215"/>
      <c r="AT703" s="2211" t="s">
        <v>3303</v>
      </c>
      <c r="AU703" s="2211" t="s">
        <v>134</v>
      </c>
      <c r="AV703" s="2209" t="s">
        <v>134</v>
      </c>
      <c r="AW703" s="2209" t="s">
        <v>3171</v>
      </c>
      <c r="AX703" s="2209" t="s">
        <v>3213</v>
      </c>
      <c r="AY703" s="2211" t="s">
        <v>3285</v>
      </c>
    </row>
    <row r="704" spans="2:65" s="2216" customFormat="1">
      <c r="B704" s="2217"/>
      <c r="D704" s="2197" t="s">
        <v>3303</v>
      </c>
      <c r="E704" s="2218" t="s">
        <v>3146</v>
      </c>
      <c r="F704" s="2219" t="s">
        <v>3306</v>
      </c>
      <c r="H704" s="2220">
        <v>11</v>
      </c>
      <c r="L704" s="2217"/>
      <c r="M704" s="2221"/>
      <c r="T704" s="2222"/>
      <c r="AT704" s="2218" t="s">
        <v>3303</v>
      </c>
      <c r="AU704" s="2218" t="s">
        <v>134</v>
      </c>
      <c r="AV704" s="2216" t="s">
        <v>856</v>
      </c>
      <c r="AW704" s="2216" t="s">
        <v>3171</v>
      </c>
      <c r="AX704" s="2216" t="s">
        <v>133</v>
      </c>
      <c r="AY704" s="2218" t="s">
        <v>3285</v>
      </c>
    </row>
    <row r="705" spans="2:65" s="2070" customFormat="1" ht="24.2" customHeight="1">
      <c r="B705" s="2164"/>
      <c r="C705" s="4614" t="s">
        <v>3948</v>
      </c>
      <c r="D705" s="4614" t="s">
        <v>135</v>
      </c>
      <c r="E705" s="4615" t="s">
        <v>5092</v>
      </c>
      <c r="F705" s="4616" t="s">
        <v>5093</v>
      </c>
      <c r="G705" s="4617" t="s">
        <v>155</v>
      </c>
      <c r="H705" s="4618">
        <v>35</v>
      </c>
      <c r="I705" s="4619"/>
      <c r="J705" s="4619">
        <f>ROUND(I705*H705,2)</f>
        <v>0</v>
      </c>
      <c r="K705" s="4616" t="s">
        <v>142</v>
      </c>
      <c r="L705" s="2223"/>
      <c r="M705" s="2224" t="s">
        <v>3146</v>
      </c>
      <c r="N705" s="2225" t="s">
        <v>3181</v>
      </c>
      <c r="O705" s="2191">
        <v>0</v>
      </c>
      <c r="P705" s="2191">
        <f>O705*H705</f>
        <v>0</v>
      </c>
      <c r="Q705" s="2191">
        <v>4.4999999999999998E-2</v>
      </c>
      <c r="R705" s="2191">
        <f>Q705*H705</f>
        <v>1.575</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5094</v>
      </c>
    </row>
    <row r="706" spans="2:65" s="2209" customFormat="1">
      <c r="B706" s="2210"/>
      <c r="D706" s="2197" t="s">
        <v>3303</v>
      </c>
      <c r="E706" s="2211" t="s">
        <v>3146</v>
      </c>
      <c r="F706" s="2212" t="s">
        <v>5095</v>
      </c>
      <c r="H706" s="2213">
        <v>35</v>
      </c>
      <c r="L706" s="2210"/>
      <c r="M706" s="2214"/>
      <c r="T706" s="2215"/>
      <c r="AT706" s="2211" t="s">
        <v>3303</v>
      </c>
      <c r="AU706" s="2211" t="s">
        <v>134</v>
      </c>
      <c r="AV706" s="2209" t="s">
        <v>134</v>
      </c>
      <c r="AW706" s="2209" t="s">
        <v>3171</v>
      </c>
      <c r="AX706" s="2209" t="s">
        <v>133</v>
      </c>
      <c r="AY706" s="2211" t="s">
        <v>3285</v>
      </c>
    </row>
    <row r="707" spans="2:65" s="2070" customFormat="1" ht="24.2" customHeight="1">
      <c r="B707" s="2164"/>
      <c r="C707" s="4614" t="s">
        <v>3954</v>
      </c>
      <c r="D707" s="4614" t="s">
        <v>135</v>
      </c>
      <c r="E707" s="4615" t="s">
        <v>5097</v>
      </c>
      <c r="F707" s="4616" t="s">
        <v>5098</v>
      </c>
      <c r="G707" s="4617" t="s">
        <v>155</v>
      </c>
      <c r="H707" s="4618">
        <v>1</v>
      </c>
      <c r="I707" s="4619"/>
      <c r="J707" s="4619">
        <f>ROUND(I707*H707,2)</f>
        <v>0</v>
      </c>
      <c r="K707" s="4616" t="s">
        <v>142</v>
      </c>
      <c r="L707" s="2223"/>
      <c r="M707" s="2224" t="s">
        <v>3146</v>
      </c>
      <c r="N707" s="2225" t="s">
        <v>3181</v>
      </c>
      <c r="O707" s="2191">
        <v>0</v>
      </c>
      <c r="P707" s="2191">
        <f>O707*H707</f>
        <v>0</v>
      </c>
      <c r="Q707" s="2191">
        <v>3.6999999999999998E-2</v>
      </c>
      <c r="R707" s="2191">
        <f>Q707*H707</f>
        <v>3.6999999999999998E-2</v>
      </c>
      <c r="S707" s="2191">
        <v>0</v>
      </c>
      <c r="T707" s="2192">
        <f>S707*H707</f>
        <v>0</v>
      </c>
      <c r="AR707" s="2193" t="s">
        <v>3389</v>
      </c>
      <c r="AT707" s="2193" t="s">
        <v>135</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2894</v>
      </c>
      <c r="BM707" s="2193" t="s">
        <v>5099</v>
      </c>
    </row>
    <row r="708" spans="2:65" s="2070" customFormat="1" ht="24.2" customHeight="1">
      <c r="B708" s="2164"/>
      <c r="C708" s="4608" t="s">
        <v>3957</v>
      </c>
      <c r="D708" s="4608" t="s">
        <v>3286</v>
      </c>
      <c r="E708" s="4609" t="s">
        <v>5100</v>
      </c>
      <c r="F708" s="4610" t="s">
        <v>5101</v>
      </c>
      <c r="G708" s="4611" t="s">
        <v>611</v>
      </c>
      <c r="H708" s="4612">
        <v>26.74</v>
      </c>
      <c r="I708" s="4613"/>
      <c r="J708" s="4613">
        <f>ROUND(I708*H708,2)</f>
        <v>0</v>
      </c>
      <c r="K708" s="4610" t="s">
        <v>142</v>
      </c>
      <c r="L708" s="2071"/>
      <c r="M708" s="2190" t="s">
        <v>3146</v>
      </c>
      <c r="N708" s="2163" t="s">
        <v>3181</v>
      </c>
      <c r="O708" s="2191">
        <v>3.125</v>
      </c>
      <c r="P708" s="2191">
        <f>O708*H708</f>
        <v>83.5625</v>
      </c>
      <c r="Q708" s="2191">
        <v>5.4010000000000002E-2</v>
      </c>
      <c r="R708" s="2191">
        <f>Q708*H708</f>
        <v>1.4442273999999999</v>
      </c>
      <c r="S708" s="2191">
        <v>0</v>
      </c>
      <c r="T708" s="2192">
        <f>S708*H708</f>
        <v>0</v>
      </c>
      <c r="AR708" s="2193" t="s">
        <v>2894</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2894</v>
      </c>
      <c r="BM708" s="2193" t="s">
        <v>5102</v>
      </c>
    </row>
    <row r="709" spans="2:65" s="2209" customFormat="1">
      <c r="B709" s="2210"/>
      <c r="D709" s="2197" t="s">
        <v>3303</v>
      </c>
      <c r="E709" s="2211" t="s">
        <v>3146</v>
      </c>
      <c r="F709" s="2212" t="s">
        <v>5103</v>
      </c>
      <c r="H709" s="2213">
        <v>3</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5104</v>
      </c>
      <c r="H710" s="2213">
        <v>2.1</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5105</v>
      </c>
      <c r="H711" s="2213">
        <v>2.4</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5106</v>
      </c>
      <c r="H712" s="2213">
        <v>2.4</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5107</v>
      </c>
      <c r="H713" s="2213">
        <v>2.5</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5108</v>
      </c>
      <c r="H714" s="2213">
        <v>6</v>
      </c>
      <c r="L714" s="2210"/>
      <c r="M714" s="2214"/>
      <c r="T714" s="2215"/>
      <c r="AT714" s="2211" t="s">
        <v>3303</v>
      </c>
      <c r="AU714" s="2211" t="s">
        <v>134</v>
      </c>
      <c r="AV714" s="2209" t="s">
        <v>134</v>
      </c>
      <c r="AW714" s="2209" t="s">
        <v>3171</v>
      </c>
      <c r="AX714" s="2209" t="s">
        <v>3213</v>
      </c>
      <c r="AY714" s="2211" t="s">
        <v>3285</v>
      </c>
    </row>
    <row r="715" spans="2:65" s="2209" customFormat="1">
      <c r="B715" s="2210"/>
      <c r="D715" s="2197" t="s">
        <v>3303</v>
      </c>
      <c r="E715" s="2211" t="s">
        <v>3146</v>
      </c>
      <c r="F715" s="2212" t="s">
        <v>5109</v>
      </c>
      <c r="H715" s="2213">
        <v>3.8</v>
      </c>
      <c r="L715" s="2210"/>
      <c r="M715" s="2214"/>
      <c r="T715" s="2215"/>
      <c r="AT715" s="2211" t="s">
        <v>3303</v>
      </c>
      <c r="AU715" s="2211" t="s">
        <v>134</v>
      </c>
      <c r="AV715" s="2209" t="s">
        <v>134</v>
      </c>
      <c r="AW715" s="2209" t="s">
        <v>3171</v>
      </c>
      <c r="AX715" s="2209" t="s">
        <v>3213</v>
      </c>
      <c r="AY715" s="2211" t="s">
        <v>3285</v>
      </c>
    </row>
    <row r="716" spans="2:65" s="2209" customFormat="1">
      <c r="B716" s="2210"/>
      <c r="D716" s="2197" t="s">
        <v>3303</v>
      </c>
      <c r="E716" s="2211" t="s">
        <v>3146</v>
      </c>
      <c r="F716" s="2212" t="s">
        <v>5110</v>
      </c>
      <c r="H716" s="2213">
        <v>4.54</v>
      </c>
      <c r="L716" s="2210"/>
      <c r="M716" s="2214"/>
      <c r="T716" s="2215"/>
      <c r="AT716" s="2211" t="s">
        <v>3303</v>
      </c>
      <c r="AU716" s="2211" t="s">
        <v>134</v>
      </c>
      <c r="AV716" s="2209" t="s">
        <v>134</v>
      </c>
      <c r="AW716" s="2209" t="s">
        <v>3171</v>
      </c>
      <c r="AX716" s="2209" t="s">
        <v>3213</v>
      </c>
      <c r="AY716" s="2211" t="s">
        <v>3285</v>
      </c>
    </row>
    <row r="717" spans="2:65" s="2216" customFormat="1">
      <c r="B717" s="2217"/>
      <c r="D717" s="2197" t="s">
        <v>3303</v>
      </c>
      <c r="E717" s="2218" t="s">
        <v>3146</v>
      </c>
      <c r="F717" s="2219" t="s">
        <v>3306</v>
      </c>
      <c r="H717" s="2220">
        <v>26.74</v>
      </c>
      <c r="L717" s="2217"/>
      <c r="M717" s="2221"/>
      <c r="T717" s="2222"/>
      <c r="AT717" s="2218" t="s">
        <v>3303</v>
      </c>
      <c r="AU717" s="2218" t="s">
        <v>134</v>
      </c>
      <c r="AV717" s="2216" t="s">
        <v>856</v>
      </c>
      <c r="AW717" s="2216" t="s">
        <v>3171</v>
      </c>
      <c r="AX717" s="2216" t="s">
        <v>133</v>
      </c>
      <c r="AY717" s="2218" t="s">
        <v>3285</v>
      </c>
    </row>
    <row r="718" spans="2:65" s="2070" customFormat="1" ht="21.75" customHeight="1">
      <c r="B718" s="2164"/>
      <c r="C718" s="4614" t="s">
        <v>3960</v>
      </c>
      <c r="D718" s="4614" t="s">
        <v>135</v>
      </c>
      <c r="E718" s="4615" t="s">
        <v>5111</v>
      </c>
      <c r="F718" s="4616" t="s">
        <v>5112</v>
      </c>
      <c r="G718" s="4617" t="s">
        <v>155</v>
      </c>
      <c r="H718" s="4618">
        <v>36</v>
      </c>
      <c r="I718" s="4619"/>
      <c r="J718" s="4619">
        <f>ROUND(I718*H718,2)</f>
        <v>0</v>
      </c>
      <c r="K718" s="4616" t="s">
        <v>142</v>
      </c>
      <c r="L718" s="2223"/>
      <c r="M718" s="2224" t="s">
        <v>3146</v>
      </c>
      <c r="N718" s="2225" t="s">
        <v>3181</v>
      </c>
      <c r="O718" s="2191">
        <v>0</v>
      </c>
      <c r="P718" s="2191">
        <f>O718*H718</f>
        <v>0</v>
      </c>
      <c r="Q718" s="2191">
        <v>5.0000000000000001E-4</v>
      </c>
      <c r="R718" s="2191">
        <f>Q718*H718</f>
        <v>1.8000000000000002E-2</v>
      </c>
      <c r="S718" s="2191">
        <v>0</v>
      </c>
      <c r="T718" s="2192">
        <f>S718*H718</f>
        <v>0</v>
      </c>
      <c r="AR718" s="2193" t="s">
        <v>3389</v>
      </c>
      <c r="AT718" s="2193" t="s">
        <v>135</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2894</v>
      </c>
      <c r="BM718" s="2193" t="s">
        <v>5113</v>
      </c>
    </row>
    <row r="719" spans="2:65" s="2209" customFormat="1">
      <c r="B719" s="2210"/>
      <c r="D719" s="2197" t="s">
        <v>3303</v>
      </c>
      <c r="E719" s="2211" t="s">
        <v>3146</v>
      </c>
      <c r="F719" s="2212" t="s">
        <v>5114</v>
      </c>
      <c r="H719" s="2213">
        <v>2</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5115</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5116</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5117</v>
      </c>
      <c r="H722" s="2213">
        <v>3</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5118</v>
      </c>
      <c r="H723" s="2213">
        <v>3</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5119</v>
      </c>
      <c r="H724" s="2213">
        <v>8</v>
      </c>
      <c r="L724" s="2210"/>
      <c r="M724" s="2214"/>
      <c r="T724" s="2215"/>
      <c r="AT724" s="2211" t="s">
        <v>3303</v>
      </c>
      <c r="AU724" s="2211" t="s">
        <v>134</v>
      </c>
      <c r="AV724" s="2209" t="s">
        <v>134</v>
      </c>
      <c r="AW724" s="2209" t="s">
        <v>3171</v>
      </c>
      <c r="AX724" s="2209" t="s">
        <v>3213</v>
      </c>
      <c r="AY724" s="2211" t="s">
        <v>3285</v>
      </c>
    </row>
    <row r="725" spans="2:65" s="2209" customFormat="1">
      <c r="B725" s="2210"/>
      <c r="D725" s="2197" t="s">
        <v>3303</v>
      </c>
      <c r="E725" s="2211" t="s">
        <v>3146</v>
      </c>
      <c r="F725" s="2212" t="s">
        <v>5120</v>
      </c>
      <c r="H725" s="2213">
        <v>6</v>
      </c>
      <c r="L725" s="2210"/>
      <c r="M725" s="2214"/>
      <c r="T725" s="2215"/>
      <c r="AT725" s="2211" t="s">
        <v>3303</v>
      </c>
      <c r="AU725" s="2211" t="s">
        <v>134</v>
      </c>
      <c r="AV725" s="2209" t="s">
        <v>134</v>
      </c>
      <c r="AW725" s="2209" t="s">
        <v>3171</v>
      </c>
      <c r="AX725" s="2209" t="s">
        <v>3213</v>
      </c>
      <c r="AY725" s="2211" t="s">
        <v>3285</v>
      </c>
    </row>
    <row r="726" spans="2:65" s="2209" customFormat="1">
      <c r="B726" s="2210"/>
      <c r="D726" s="2197" t="s">
        <v>3303</v>
      </c>
      <c r="E726" s="2211" t="s">
        <v>3146</v>
      </c>
      <c r="F726" s="2212" t="s">
        <v>5121</v>
      </c>
      <c r="H726" s="2213">
        <v>8</v>
      </c>
      <c r="L726" s="2210"/>
      <c r="M726" s="2214"/>
      <c r="T726" s="2215"/>
      <c r="AT726" s="2211" t="s">
        <v>3303</v>
      </c>
      <c r="AU726" s="2211" t="s">
        <v>134</v>
      </c>
      <c r="AV726" s="2209" t="s">
        <v>134</v>
      </c>
      <c r="AW726" s="2209" t="s">
        <v>3171</v>
      </c>
      <c r="AX726" s="2209" t="s">
        <v>3213</v>
      </c>
      <c r="AY726" s="2211" t="s">
        <v>3285</v>
      </c>
    </row>
    <row r="727" spans="2:65" s="2216" customFormat="1">
      <c r="B727" s="2217"/>
      <c r="D727" s="2197" t="s">
        <v>3303</v>
      </c>
      <c r="E727" s="2218" t="s">
        <v>3146</v>
      </c>
      <c r="F727" s="2219" t="s">
        <v>3306</v>
      </c>
      <c r="H727" s="2220">
        <v>36</v>
      </c>
      <c r="L727" s="2217"/>
      <c r="M727" s="2221"/>
      <c r="T727" s="2222"/>
      <c r="AT727" s="2218" t="s">
        <v>3303</v>
      </c>
      <c r="AU727" s="2218" t="s">
        <v>134</v>
      </c>
      <c r="AV727" s="2216" t="s">
        <v>856</v>
      </c>
      <c r="AW727" s="2216" t="s">
        <v>3171</v>
      </c>
      <c r="AX727" s="2216" t="s">
        <v>133</v>
      </c>
      <c r="AY727" s="2218" t="s">
        <v>3285</v>
      </c>
    </row>
    <row r="728" spans="2:65" s="2070" customFormat="1" ht="24.2" customHeight="1">
      <c r="B728" s="2164"/>
      <c r="C728" s="4608" t="s">
        <v>3964</v>
      </c>
      <c r="D728" s="4608" t="s">
        <v>3286</v>
      </c>
      <c r="E728" s="4609" t="s">
        <v>5122</v>
      </c>
      <c r="F728" s="4610" t="s">
        <v>5123</v>
      </c>
      <c r="G728" s="4611" t="s">
        <v>155</v>
      </c>
      <c r="H728" s="4612">
        <v>13</v>
      </c>
      <c r="I728" s="4613"/>
      <c r="J728" s="4613">
        <f>ROUND(I728*H728,2)</f>
        <v>0</v>
      </c>
      <c r="K728" s="4610" t="s">
        <v>142</v>
      </c>
      <c r="L728" s="2071"/>
      <c r="M728" s="2190" t="s">
        <v>3146</v>
      </c>
      <c r="N728" s="2163" t="s">
        <v>3181</v>
      </c>
      <c r="O728" s="2191">
        <v>1.538</v>
      </c>
      <c r="P728" s="2191">
        <f>O728*H728</f>
        <v>19.994</v>
      </c>
      <c r="Q728" s="2191">
        <v>5.4149999999999997E-2</v>
      </c>
      <c r="R728" s="2191">
        <f>Q728*H728</f>
        <v>0.70394999999999996</v>
      </c>
      <c r="S728" s="2191">
        <v>0</v>
      </c>
      <c r="T728" s="2192">
        <f>S728*H728</f>
        <v>0</v>
      </c>
      <c r="AR728" s="2193" t="s">
        <v>2894</v>
      </c>
      <c r="AT728" s="2193" t="s">
        <v>3286</v>
      </c>
      <c r="AU728" s="2193" t="s">
        <v>134</v>
      </c>
      <c r="AY728" s="2056" t="s">
        <v>3285</v>
      </c>
      <c r="BE728" s="2194">
        <f>IF(N728="základní",J728,0)</f>
        <v>0</v>
      </c>
      <c r="BF728" s="2194">
        <f>IF(N728="snížená",J728,0)</f>
        <v>0</v>
      </c>
      <c r="BG728" s="2194">
        <f>IF(N728="zákl. přenesená",J728,0)</f>
        <v>0</v>
      </c>
      <c r="BH728" s="2194">
        <f>IF(N728="sníž. přenesená",J728,0)</f>
        <v>0</v>
      </c>
      <c r="BI728" s="2194">
        <f>IF(N728="nulová",J728,0)</f>
        <v>0</v>
      </c>
      <c r="BJ728" s="2056" t="s">
        <v>134</v>
      </c>
      <c r="BK728" s="2194">
        <f>ROUND(I728*H728,2)</f>
        <v>0</v>
      </c>
      <c r="BL728" s="2056" t="s">
        <v>2894</v>
      </c>
      <c r="BM728" s="2193" t="s">
        <v>5124</v>
      </c>
    </row>
    <row r="729" spans="2:65" s="2209" customFormat="1">
      <c r="B729" s="2210"/>
      <c r="D729" s="2197" t="s">
        <v>3303</v>
      </c>
      <c r="E729" s="2211" t="s">
        <v>3146</v>
      </c>
      <c r="F729" s="2212" t="s">
        <v>5114</v>
      </c>
      <c r="H729" s="2213">
        <v>2</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5125</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5126</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5127</v>
      </c>
      <c r="H732" s="2213">
        <v>1</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5128</v>
      </c>
      <c r="H733" s="2213">
        <v>1</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5129</v>
      </c>
      <c r="H734" s="2213">
        <v>3</v>
      </c>
      <c r="L734" s="2210"/>
      <c r="M734" s="2214"/>
      <c r="T734" s="2215"/>
      <c r="AT734" s="2211" t="s">
        <v>3303</v>
      </c>
      <c r="AU734" s="2211" t="s">
        <v>134</v>
      </c>
      <c r="AV734" s="2209" t="s">
        <v>134</v>
      </c>
      <c r="AW734" s="2209" t="s">
        <v>3171</v>
      </c>
      <c r="AX734" s="2209" t="s">
        <v>3213</v>
      </c>
      <c r="AY734" s="2211" t="s">
        <v>3285</v>
      </c>
    </row>
    <row r="735" spans="2:65" s="2209" customFormat="1">
      <c r="B735" s="2210"/>
      <c r="D735" s="2197" t="s">
        <v>3303</v>
      </c>
      <c r="E735" s="2211" t="s">
        <v>3146</v>
      </c>
      <c r="F735" s="2212" t="s">
        <v>5130</v>
      </c>
      <c r="H735" s="2213">
        <v>2</v>
      </c>
      <c r="L735" s="2210"/>
      <c r="M735" s="2214"/>
      <c r="T735" s="2215"/>
      <c r="AT735" s="2211" t="s">
        <v>3303</v>
      </c>
      <c r="AU735" s="2211" t="s">
        <v>134</v>
      </c>
      <c r="AV735" s="2209" t="s">
        <v>134</v>
      </c>
      <c r="AW735" s="2209" t="s">
        <v>3171</v>
      </c>
      <c r="AX735" s="2209" t="s">
        <v>3213</v>
      </c>
      <c r="AY735" s="2211" t="s">
        <v>3285</v>
      </c>
    </row>
    <row r="736" spans="2:65" s="2209" customFormat="1">
      <c r="B736" s="2210"/>
      <c r="D736" s="2197" t="s">
        <v>3303</v>
      </c>
      <c r="E736" s="2211" t="s">
        <v>3146</v>
      </c>
      <c r="F736" s="2212" t="s">
        <v>5131</v>
      </c>
      <c r="H736" s="2213">
        <v>2</v>
      </c>
      <c r="L736" s="2210"/>
      <c r="M736" s="2214"/>
      <c r="T736" s="2215"/>
      <c r="AT736" s="2211" t="s">
        <v>3303</v>
      </c>
      <c r="AU736" s="2211" t="s">
        <v>134</v>
      </c>
      <c r="AV736" s="2209" t="s">
        <v>134</v>
      </c>
      <c r="AW736" s="2209" t="s">
        <v>3171</v>
      </c>
      <c r="AX736" s="2209" t="s">
        <v>3213</v>
      </c>
      <c r="AY736" s="2211" t="s">
        <v>3285</v>
      </c>
    </row>
    <row r="737" spans="2:65" s="2216" customFormat="1">
      <c r="B737" s="2217"/>
      <c r="D737" s="2197" t="s">
        <v>3303</v>
      </c>
      <c r="E737" s="2218" t="s">
        <v>3146</v>
      </c>
      <c r="F737" s="2219" t="s">
        <v>3306</v>
      </c>
      <c r="H737" s="2220">
        <v>13</v>
      </c>
      <c r="L737" s="2217"/>
      <c r="M737" s="2221"/>
      <c r="T737" s="2222"/>
      <c r="AT737" s="2218" t="s">
        <v>3303</v>
      </c>
      <c r="AU737" s="2218" t="s">
        <v>134</v>
      </c>
      <c r="AV737" s="2216" t="s">
        <v>856</v>
      </c>
      <c r="AW737" s="2216" t="s">
        <v>3171</v>
      </c>
      <c r="AX737" s="2216" t="s">
        <v>133</v>
      </c>
      <c r="AY737" s="2218" t="s">
        <v>3285</v>
      </c>
    </row>
    <row r="738" spans="2:65" s="2070" customFormat="1" ht="24.2" customHeight="1">
      <c r="B738" s="2164"/>
      <c r="C738" s="4608" t="s">
        <v>3968</v>
      </c>
      <c r="D738" s="4608" t="s">
        <v>3286</v>
      </c>
      <c r="E738" s="4609" t="s">
        <v>4096</v>
      </c>
      <c r="F738" s="4610" t="s">
        <v>4097</v>
      </c>
      <c r="G738" s="4611" t="s">
        <v>302</v>
      </c>
      <c r="H738" s="4612">
        <v>201.61500000000001</v>
      </c>
      <c r="I738" s="4613"/>
      <c r="J738" s="4613">
        <f>ROUND(I738*H738,2)</f>
        <v>0</v>
      </c>
      <c r="K738" s="4610" t="s">
        <v>142</v>
      </c>
      <c r="L738" s="2071"/>
      <c r="M738" s="2190" t="s">
        <v>3146</v>
      </c>
      <c r="N738" s="2163" t="s">
        <v>3181</v>
      </c>
      <c r="O738" s="2191">
        <v>2.46</v>
      </c>
      <c r="P738" s="2191">
        <f>O738*H738</f>
        <v>495.97290000000004</v>
      </c>
      <c r="Q738" s="2191">
        <v>0</v>
      </c>
      <c r="R738" s="2191">
        <f>Q738*H738</f>
        <v>0</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11222</v>
      </c>
    </row>
    <row r="739" spans="2:65" s="2070" customFormat="1" ht="24.2" customHeight="1">
      <c r="B739" s="2164"/>
      <c r="C739" s="4608" t="s">
        <v>3972</v>
      </c>
      <c r="D739" s="4608" t="s">
        <v>3286</v>
      </c>
      <c r="E739" s="4609" t="s">
        <v>4100</v>
      </c>
      <c r="F739" s="4610" t="s">
        <v>4101</v>
      </c>
      <c r="G739" s="4611" t="s">
        <v>302</v>
      </c>
      <c r="H739" s="4612">
        <v>201.61500000000001</v>
      </c>
      <c r="I739" s="4613"/>
      <c r="J739" s="4613">
        <f>ROUND(I739*H739,2)</f>
        <v>0</v>
      </c>
      <c r="K739" s="4610" t="s">
        <v>142</v>
      </c>
      <c r="L739" s="2071"/>
      <c r="M739" s="2190" t="s">
        <v>3146</v>
      </c>
      <c r="N739" s="2163" t="s">
        <v>3181</v>
      </c>
      <c r="O739" s="2191">
        <v>1.32</v>
      </c>
      <c r="P739" s="2191">
        <f>O739*H739</f>
        <v>266.1318</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11223</v>
      </c>
    </row>
    <row r="740" spans="2:65" s="2178" customFormat="1" ht="22.9" customHeight="1">
      <c r="B740" s="2179"/>
      <c r="D740" s="2180" t="s">
        <v>3212</v>
      </c>
      <c r="E740" s="2188" t="s">
        <v>4103</v>
      </c>
      <c r="F740" s="2188" t="s">
        <v>4104</v>
      </c>
      <c r="J740" s="2189">
        <f>BK740</f>
        <v>0</v>
      </c>
      <c r="L740" s="2179"/>
      <c r="M740" s="2183"/>
      <c r="P740" s="2184">
        <f>SUM(P741:P901)</f>
        <v>1169.44542</v>
      </c>
      <c r="R740" s="2184">
        <f>SUM(R741:R901)</f>
        <v>6.8483897199999992</v>
      </c>
      <c r="T740" s="2185">
        <f>SUM(T741:T901)</f>
        <v>0</v>
      </c>
      <c r="AR740" s="2180" t="s">
        <v>134</v>
      </c>
      <c r="AT740" s="2186" t="s">
        <v>3212</v>
      </c>
      <c r="AU740" s="2186" t="s">
        <v>133</v>
      </c>
      <c r="AY740" s="2180" t="s">
        <v>3285</v>
      </c>
      <c r="BK740" s="2187">
        <f>SUM(BK741:BK901)</f>
        <v>0</v>
      </c>
    </row>
    <row r="741" spans="2:65" s="2070" customFormat="1" ht="24.2" customHeight="1">
      <c r="B741" s="2164"/>
      <c r="C741" s="4608" t="s">
        <v>3974</v>
      </c>
      <c r="D741" s="4608" t="s">
        <v>3286</v>
      </c>
      <c r="E741" s="4609" t="s">
        <v>5132</v>
      </c>
      <c r="F741" s="4610" t="s">
        <v>5133</v>
      </c>
      <c r="G741" s="4611" t="s">
        <v>141</v>
      </c>
      <c r="H741" s="4612">
        <v>2.06</v>
      </c>
      <c r="I741" s="4613"/>
      <c r="J741" s="4613">
        <f>ROUND(I741*H741,2)</f>
        <v>0</v>
      </c>
      <c r="K741" s="4610" t="s">
        <v>142</v>
      </c>
      <c r="L741" s="2071"/>
      <c r="M741" s="2190" t="s">
        <v>3146</v>
      </c>
      <c r="N741" s="2163" t="s">
        <v>3181</v>
      </c>
      <c r="O741" s="2191">
        <v>0.41</v>
      </c>
      <c r="P741" s="2191">
        <f>O741*H741</f>
        <v>0.84460000000000002</v>
      </c>
      <c r="Q741" s="2191">
        <v>0</v>
      </c>
      <c r="R741" s="2191">
        <f>Q741*H741</f>
        <v>0</v>
      </c>
      <c r="S741" s="2191">
        <v>0</v>
      </c>
      <c r="T741" s="2192">
        <f>S741*H741</f>
        <v>0</v>
      </c>
      <c r="AR741" s="2193" t="s">
        <v>2894</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2894</v>
      </c>
      <c r="BM741" s="2193" t="s">
        <v>5134</v>
      </c>
    </row>
    <row r="742" spans="2:65" s="2195" customFormat="1">
      <c r="B742" s="2196"/>
      <c r="D742" s="2197" t="s">
        <v>3303</v>
      </c>
      <c r="E742" s="2198" t="s">
        <v>3146</v>
      </c>
      <c r="F742" s="2199" t="s">
        <v>5135</v>
      </c>
      <c r="H742" s="2198" t="s">
        <v>3146</v>
      </c>
      <c r="L742" s="2196"/>
      <c r="M742" s="2200"/>
      <c r="T742" s="2201"/>
      <c r="AT742" s="2198" t="s">
        <v>3303</v>
      </c>
      <c r="AU742" s="2198" t="s">
        <v>134</v>
      </c>
      <c r="AV742" s="2195" t="s">
        <v>133</v>
      </c>
      <c r="AW742" s="2195" t="s">
        <v>3171</v>
      </c>
      <c r="AX742" s="2195" t="s">
        <v>3213</v>
      </c>
      <c r="AY742" s="2198" t="s">
        <v>3285</v>
      </c>
    </row>
    <row r="743" spans="2:65" s="2195" customFormat="1">
      <c r="B743" s="2196"/>
      <c r="D743" s="2197" t="s">
        <v>3303</v>
      </c>
      <c r="E743" s="2198" t="s">
        <v>3146</v>
      </c>
      <c r="F743" s="2199" t="s">
        <v>5136</v>
      </c>
      <c r="H743" s="2198" t="s">
        <v>3146</v>
      </c>
      <c r="L743" s="2196"/>
      <c r="M743" s="2200"/>
      <c r="T743" s="2201"/>
      <c r="AT743" s="2198" t="s">
        <v>3303</v>
      </c>
      <c r="AU743" s="2198" t="s">
        <v>134</v>
      </c>
      <c r="AV743" s="2195" t="s">
        <v>133</v>
      </c>
      <c r="AW743" s="2195" t="s">
        <v>3171</v>
      </c>
      <c r="AX743" s="2195" t="s">
        <v>3213</v>
      </c>
      <c r="AY743" s="2198" t="s">
        <v>3285</v>
      </c>
    </row>
    <row r="744" spans="2:65" s="2209" customFormat="1">
      <c r="B744" s="2210"/>
      <c r="D744" s="2197" t="s">
        <v>3303</v>
      </c>
      <c r="E744" s="2211" t="s">
        <v>3146</v>
      </c>
      <c r="F744" s="2212" t="s">
        <v>5137</v>
      </c>
      <c r="H744" s="2213">
        <v>2.06</v>
      </c>
      <c r="L744" s="2210"/>
      <c r="M744" s="2214"/>
      <c r="T744" s="2215"/>
      <c r="AT744" s="2211" t="s">
        <v>3303</v>
      </c>
      <c r="AU744" s="2211" t="s">
        <v>134</v>
      </c>
      <c r="AV744" s="2209" t="s">
        <v>134</v>
      </c>
      <c r="AW744" s="2209" t="s">
        <v>3171</v>
      </c>
      <c r="AX744" s="2209" t="s">
        <v>133</v>
      </c>
      <c r="AY744" s="2211" t="s">
        <v>3285</v>
      </c>
    </row>
    <row r="745" spans="2:65" s="2070" customFormat="1" ht="16.5" customHeight="1">
      <c r="B745" s="2164"/>
      <c r="C745" s="4608" t="s">
        <v>3978</v>
      </c>
      <c r="D745" s="4608" t="s">
        <v>3286</v>
      </c>
      <c r="E745" s="4609" t="s">
        <v>5138</v>
      </c>
      <c r="F745" s="4610" t="s">
        <v>5139</v>
      </c>
      <c r="G745" s="4611" t="s">
        <v>141</v>
      </c>
      <c r="H745" s="4612">
        <v>102.4</v>
      </c>
      <c r="I745" s="4613"/>
      <c r="J745" s="4613">
        <f>ROUND(I745*H745,2)</f>
        <v>0</v>
      </c>
      <c r="K745" s="4610" t="s">
        <v>142</v>
      </c>
      <c r="L745" s="2071"/>
      <c r="M745" s="2190" t="s">
        <v>3146</v>
      </c>
      <c r="N745" s="2163" t="s">
        <v>3181</v>
      </c>
      <c r="O745" s="2191">
        <v>1.3120000000000001</v>
      </c>
      <c r="P745" s="2191">
        <f>O745*H745</f>
        <v>134.34880000000001</v>
      </c>
      <c r="Q745" s="2191">
        <v>0</v>
      </c>
      <c r="R745" s="2191">
        <f>Q745*H745</f>
        <v>0</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5140</v>
      </c>
    </row>
    <row r="746" spans="2:65" s="2195" customFormat="1">
      <c r="B746" s="2196"/>
      <c r="D746" s="2197" t="s">
        <v>3303</v>
      </c>
      <c r="E746" s="2198" t="s">
        <v>3146</v>
      </c>
      <c r="F746" s="2199" t="s">
        <v>5141</v>
      </c>
      <c r="H746" s="2198" t="s">
        <v>3146</v>
      </c>
      <c r="L746" s="2196"/>
      <c r="M746" s="2200"/>
      <c r="T746" s="2201"/>
      <c r="AT746" s="2198" t="s">
        <v>3303</v>
      </c>
      <c r="AU746" s="2198" t="s">
        <v>134</v>
      </c>
      <c r="AV746" s="2195" t="s">
        <v>133</v>
      </c>
      <c r="AW746" s="2195" t="s">
        <v>3171</v>
      </c>
      <c r="AX746" s="2195" t="s">
        <v>3213</v>
      </c>
      <c r="AY746" s="2198" t="s">
        <v>3285</v>
      </c>
    </row>
    <row r="747" spans="2:65" s="2209" customFormat="1">
      <c r="B747" s="2210"/>
      <c r="D747" s="2197" t="s">
        <v>3303</v>
      </c>
      <c r="E747" s="2211" t="s">
        <v>3146</v>
      </c>
      <c r="F747" s="2212" t="s">
        <v>5142</v>
      </c>
      <c r="H747" s="2213">
        <v>102.4</v>
      </c>
      <c r="L747" s="2210"/>
      <c r="M747" s="2214"/>
      <c r="T747" s="2215"/>
      <c r="AT747" s="2211" t="s">
        <v>3303</v>
      </c>
      <c r="AU747" s="2211" t="s">
        <v>134</v>
      </c>
      <c r="AV747" s="2209" t="s">
        <v>134</v>
      </c>
      <c r="AW747" s="2209" t="s">
        <v>3171</v>
      </c>
      <c r="AX747" s="2209" t="s">
        <v>3213</v>
      </c>
      <c r="AY747" s="2211" t="s">
        <v>3285</v>
      </c>
    </row>
    <row r="748" spans="2:65" s="2216" customFormat="1">
      <c r="B748" s="2217"/>
      <c r="D748" s="2197" t="s">
        <v>3303</v>
      </c>
      <c r="E748" s="2218" t="s">
        <v>3146</v>
      </c>
      <c r="F748" s="2219" t="s">
        <v>3306</v>
      </c>
      <c r="H748" s="2220">
        <v>102.4</v>
      </c>
      <c r="L748" s="2217"/>
      <c r="M748" s="2221"/>
      <c r="T748" s="2222"/>
      <c r="AT748" s="2218" t="s">
        <v>3303</v>
      </c>
      <c r="AU748" s="2218" t="s">
        <v>134</v>
      </c>
      <c r="AV748" s="2216" t="s">
        <v>856</v>
      </c>
      <c r="AW748" s="2216" t="s">
        <v>3171</v>
      </c>
      <c r="AX748" s="2216" t="s">
        <v>133</v>
      </c>
      <c r="AY748" s="2218" t="s">
        <v>3285</v>
      </c>
    </row>
    <row r="749" spans="2:65" s="2070" customFormat="1" ht="16.5" customHeight="1">
      <c r="B749" s="2164"/>
      <c r="C749" s="4614" t="s">
        <v>3984</v>
      </c>
      <c r="D749" s="4614" t="s">
        <v>135</v>
      </c>
      <c r="E749" s="4615" t="s">
        <v>5143</v>
      </c>
      <c r="F749" s="4616" t="s">
        <v>5144</v>
      </c>
      <c r="G749" s="4617" t="s">
        <v>141</v>
      </c>
      <c r="H749" s="4618">
        <v>107.52</v>
      </c>
      <c r="I749" s="4619"/>
      <c r="J749" s="4619">
        <f>ROUND(I749*H749,2)</f>
        <v>0</v>
      </c>
      <c r="K749" s="4616" t="s">
        <v>142</v>
      </c>
      <c r="L749" s="2223"/>
      <c r="M749" s="2224" t="s">
        <v>3146</v>
      </c>
      <c r="N749" s="2225" t="s">
        <v>3181</v>
      </c>
      <c r="O749" s="2191">
        <v>0</v>
      </c>
      <c r="P749" s="2191">
        <f>O749*H749</f>
        <v>0</v>
      </c>
      <c r="Q749" s="2191">
        <v>0</v>
      </c>
      <c r="R749" s="2191">
        <f>Q749*H749</f>
        <v>0</v>
      </c>
      <c r="S749" s="2191">
        <v>0</v>
      </c>
      <c r="T749" s="2192">
        <f>S749*H749</f>
        <v>0</v>
      </c>
      <c r="AR749" s="2193" t="s">
        <v>3389</v>
      </c>
      <c r="AT749" s="2193" t="s">
        <v>135</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5145</v>
      </c>
    </row>
    <row r="750" spans="2:65" s="2209" customFormat="1">
      <c r="B750" s="2210"/>
      <c r="D750" s="2197" t="s">
        <v>3303</v>
      </c>
      <c r="F750" s="2212" t="s">
        <v>5146</v>
      </c>
      <c r="H750" s="2213">
        <v>107.52</v>
      </c>
      <c r="L750" s="2210"/>
      <c r="M750" s="2214"/>
      <c r="T750" s="2215"/>
      <c r="AT750" s="2211" t="s">
        <v>3303</v>
      </c>
      <c r="AU750" s="2211" t="s">
        <v>134</v>
      </c>
      <c r="AV750" s="2209" t="s">
        <v>134</v>
      </c>
      <c r="AW750" s="2209" t="s">
        <v>3148</v>
      </c>
      <c r="AX750" s="2209" t="s">
        <v>133</v>
      </c>
      <c r="AY750" s="2211" t="s">
        <v>3285</v>
      </c>
    </row>
    <row r="751" spans="2:65" s="2070" customFormat="1" ht="24.2" customHeight="1">
      <c r="B751" s="2164"/>
      <c r="C751" s="4608" t="s">
        <v>3988</v>
      </c>
      <c r="D751" s="4608" t="s">
        <v>3286</v>
      </c>
      <c r="E751" s="4609" t="s">
        <v>5147</v>
      </c>
      <c r="F751" s="4610" t="s">
        <v>5148</v>
      </c>
      <c r="G751" s="4611" t="s">
        <v>141</v>
      </c>
      <c r="H751" s="4612">
        <v>193.92</v>
      </c>
      <c r="I751" s="4613"/>
      <c r="J751" s="4613">
        <f>ROUND(I751*H751,2)</f>
        <v>0</v>
      </c>
      <c r="K751" s="4610" t="s">
        <v>142</v>
      </c>
      <c r="L751" s="2071"/>
      <c r="M751" s="2190" t="s">
        <v>3146</v>
      </c>
      <c r="N751" s="2163" t="s">
        <v>3181</v>
      </c>
      <c r="O751" s="2191">
        <v>0.97399999999999998</v>
      </c>
      <c r="P751" s="2191">
        <f>O751*H751</f>
        <v>188.87807999999998</v>
      </c>
      <c r="Q751" s="2191">
        <v>7.4700000000000001E-3</v>
      </c>
      <c r="R751" s="2191">
        <f>Q751*H751</f>
        <v>1.4485823999999998</v>
      </c>
      <c r="S751" s="2191">
        <v>0</v>
      </c>
      <c r="T751" s="2192">
        <f>S751*H751</f>
        <v>0</v>
      </c>
      <c r="AR751" s="2193" t="s">
        <v>2894</v>
      </c>
      <c r="AT751" s="2193" t="s">
        <v>3286</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5149</v>
      </c>
    </row>
    <row r="752" spans="2:65" s="2195" customFormat="1">
      <c r="B752" s="2196"/>
      <c r="D752" s="2197" t="s">
        <v>3303</v>
      </c>
      <c r="E752" s="2198" t="s">
        <v>3146</v>
      </c>
      <c r="F752" s="2199" t="s">
        <v>5041</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5042</v>
      </c>
      <c r="H753" s="2213">
        <v>6</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5043</v>
      </c>
      <c r="H754" s="2198" t="s">
        <v>3146</v>
      </c>
      <c r="L754" s="2196"/>
      <c r="M754" s="2200"/>
      <c r="T754" s="2201"/>
      <c r="AT754" s="2198" t="s">
        <v>3303</v>
      </c>
      <c r="AU754" s="2198" t="s">
        <v>134</v>
      </c>
      <c r="AV754" s="2195" t="s">
        <v>133</v>
      </c>
      <c r="AW754" s="2195" t="s">
        <v>3171</v>
      </c>
      <c r="AX754" s="2195" t="s">
        <v>3213</v>
      </c>
      <c r="AY754" s="2198" t="s">
        <v>3285</v>
      </c>
    </row>
    <row r="755" spans="2:65" s="2209" customFormat="1">
      <c r="B755" s="2210"/>
      <c r="D755" s="2197" t="s">
        <v>3303</v>
      </c>
      <c r="E755" s="2211" t="s">
        <v>3146</v>
      </c>
      <c r="F755" s="2212" t="s">
        <v>5044</v>
      </c>
      <c r="H755" s="2213">
        <v>4.8</v>
      </c>
      <c r="L755" s="2210"/>
      <c r="M755" s="2214"/>
      <c r="T755" s="2215"/>
      <c r="AT755" s="2211" t="s">
        <v>3303</v>
      </c>
      <c r="AU755" s="2211" t="s">
        <v>134</v>
      </c>
      <c r="AV755" s="2209" t="s">
        <v>134</v>
      </c>
      <c r="AW755" s="2209" t="s">
        <v>3171</v>
      </c>
      <c r="AX755" s="2209" t="s">
        <v>3213</v>
      </c>
      <c r="AY755" s="2211" t="s">
        <v>3285</v>
      </c>
    </row>
    <row r="756" spans="2:65" s="2195" customFormat="1">
      <c r="B756" s="2196"/>
      <c r="D756" s="2197" t="s">
        <v>3303</v>
      </c>
      <c r="E756" s="2198" t="s">
        <v>3146</v>
      </c>
      <c r="F756" s="2199" t="s">
        <v>5045</v>
      </c>
      <c r="H756" s="2198" t="s">
        <v>3146</v>
      </c>
      <c r="L756" s="2196"/>
      <c r="M756" s="2200"/>
      <c r="T756" s="2201"/>
      <c r="AT756" s="2198" t="s">
        <v>3303</v>
      </c>
      <c r="AU756" s="2198" t="s">
        <v>134</v>
      </c>
      <c r="AV756" s="2195" t="s">
        <v>133</v>
      </c>
      <c r="AW756" s="2195" t="s">
        <v>3171</v>
      </c>
      <c r="AX756" s="2195" t="s">
        <v>3213</v>
      </c>
      <c r="AY756" s="2198" t="s">
        <v>3285</v>
      </c>
    </row>
    <row r="757" spans="2:65" s="2209" customFormat="1" ht="22.5">
      <c r="B757" s="2210"/>
      <c r="D757" s="2197" t="s">
        <v>3303</v>
      </c>
      <c r="E757" s="2211" t="s">
        <v>3146</v>
      </c>
      <c r="F757" s="2212" t="s">
        <v>5046</v>
      </c>
      <c r="H757" s="2213">
        <v>183.12</v>
      </c>
      <c r="L757" s="2210"/>
      <c r="M757" s="2214"/>
      <c r="T757" s="2215"/>
      <c r="AT757" s="2211" t="s">
        <v>3303</v>
      </c>
      <c r="AU757" s="2211" t="s">
        <v>134</v>
      </c>
      <c r="AV757" s="2209" t="s">
        <v>134</v>
      </c>
      <c r="AW757" s="2209" t="s">
        <v>3171</v>
      </c>
      <c r="AX757" s="2209" t="s">
        <v>3213</v>
      </c>
      <c r="AY757" s="2211" t="s">
        <v>3285</v>
      </c>
    </row>
    <row r="758" spans="2:65" s="2216" customFormat="1">
      <c r="B758" s="2217"/>
      <c r="D758" s="2197" t="s">
        <v>3303</v>
      </c>
      <c r="E758" s="2218" t="s">
        <v>3146</v>
      </c>
      <c r="F758" s="2219" t="s">
        <v>3306</v>
      </c>
      <c r="H758" s="2220">
        <v>193.92</v>
      </c>
      <c r="L758" s="2217"/>
      <c r="M758" s="2221"/>
      <c r="T758" s="2222"/>
      <c r="AT758" s="2218" t="s">
        <v>3303</v>
      </c>
      <c r="AU758" s="2218" t="s">
        <v>134</v>
      </c>
      <c r="AV758" s="2216" t="s">
        <v>856</v>
      </c>
      <c r="AW758" s="2216" t="s">
        <v>3171</v>
      </c>
      <c r="AX758" s="2216" t="s">
        <v>133</v>
      </c>
      <c r="AY758" s="2218" t="s">
        <v>3285</v>
      </c>
    </row>
    <row r="759" spans="2:65" s="2070" customFormat="1" ht="21.75" customHeight="1">
      <c r="B759" s="2164"/>
      <c r="C759" s="4608" t="s">
        <v>3992</v>
      </c>
      <c r="D759" s="4608" t="s">
        <v>3286</v>
      </c>
      <c r="E759" s="4609" t="s">
        <v>5150</v>
      </c>
      <c r="F759" s="4610" t="s">
        <v>5151</v>
      </c>
      <c r="G759" s="4611" t="s">
        <v>141</v>
      </c>
      <c r="H759" s="4612">
        <v>193.92</v>
      </c>
      <c r="I759" s="4613"/>
      <c r="J759" s="4613">
        <f>ROUND(I759*H759,2)</f>
        <v>0</v>
      </c>
      <c r="K759" s="4610" t="s">
        <v>142</v>
      </c>
      <c r="L759" s="2071"/>
      <c r="M759" s="2190" t="s">
        <v>3146</v>
      </c>
      <c r="N759" s="2163" t="s">
        <v>3181</v>
      </c>
      <c r="O759" s="2191">
        <v>0.186</v>
      </c>
      <c r="P759" s="2191">
        <f>O759*H759</f>
        <v>36.069119999999998</v>
      </c>
      <c r="Q759" s="2191">
        <v>5.0000000000000002E-5</v>
      </c>
      <c r="R759" s="2191">
        <f>Q759*H759</f>
        <v>9.6959999999999998E-3</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5152</v>
      </c>
    </row>
    <row r="760" spans="2:65" s="2195" customFormat="1">
      <c r="B760" s="2196"/>
      <c r="D760" s="2197" t="s">
        <v>3303</v>
      </c>
      <c r="E760" s="2198" t="s">
        <v>3146</v>
      </c>
      <c r="F760" s="2199" t="s">
        <v>5041</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5042</v>
      </c>
      <c r="H761" s="2213">
        <v>6</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5043</v>
      </c>
      <c r="H762" s="2198" t="s">
        <v>3146</v>
      </c>
      <c r="L762" s="2196"/>
      <c r="M762" s="2200"/>
      <c r="T762" s="2201"/>
      <c r="AT762" s="2198" t="s">
        <v>3303</v>
      </c>
      <c r="AU762" s="2198" t="s">
        <v>134</v>
      </c>
      <c r="AV762" s="2195" t="s">
        <v>133</v>
      </c>
      <c r="AW762" s="2195" t="s">
        <v>3171</v>
      </c>
      <c r="AX762" s="2195" t="s">
        <v>3213</v>
      </c>
      <c r="AY762" s="2198" t="s">
        <v>3285</v>
      </c>
    </row>
    <row r="763" spans="2:65" s="2209" customFormat="1">
      <c r="B763" s="2210"/>
      <c r="D763" s="2197" t="s">
        <v>3303</v>
      </c>
      <c r="E763" s="2211" t="s">
        <v>3146</v>
      </c>
      <c r="F763" s="2212" t="s">
        <v>5044</v>
      </c>
      <c r="H763" s="2213">
        <v>4.8</v>
      </c>
      <c r="L763" s="2210"/>
      <c r="M763" s="2214"/>
      <c r="T763" s="2215"/>
      <c r="AT763" s="2211" t="s">
        <v>3303</v>
      </c>
      <c r="AU763" s="2211" t="s">
        <v>134</v>
      </c>
      <c r="AV763" s="2209" t="s">
        <v>134</v>
      </c>
      <c r="AW763" s="2209" t="s">
        <v>3171</v>
      </c>
      <c r="AX763" s="2209" t="s">
        <v>3213</v>
      </c>
      <c r="AY763" s="2211" t="s">
        <v>3285</v>
      </c>
    </row>
    <row r="764" spans="2:65" s="2195" customFormat="1">
      <c r="B764" s="2196"/>
      <c r="D764" s="2197" t="s">
        <v>3303</v>
      </c>
      <c r="E764" s="2198" t="s">
        <v>3146</v>
      </c>
      <c r="F764" s="2199" t="s">
        <v>5045</v>
      </c>
      <c r="H764" s="2198" t="s">
        <v>3146</v>
      </c>
      <c r="L764" s="2196"/>
      <c r="M764" s="2200"/>
      <c r="T764" s="2201"/>
      <c r="AT764" s="2198" t="s">
        <v>3303</v>
      </c>
      <c r="AU764" s="2198" t="s">
        <v>134</v>
      </c>
      <c r="AV764" s="2195" t="s">
        <v>133</v>
      </c>
      <c r="AW764" s="2195" t="s">
        <v>3171</v>
      </c>
      <c r="AX764" s="2195" t="s">
        <v>3213</v>
      </c>
      <c r="AY764" s="2198" t="s">
        <v>3285</v>
      </c>
    </row>
    <row r="765" spans="2:65" s="2209" customFormat="1" ht="22.5">
      <c r="B765" s="2210"/>
      <c r="D765" s="2197" t="s">
        <v>3303</v>
      </c>
      <c r="E765" s="2211" t="s">
        <v>3146</v>
      </c>
      <c r="F765" s="2212" t="s">
        <v>5046</v>
      </c>
      <c r="H765" s="2213">
        <v>183.12</v>
      </c>
      <c r="L765" s="2210"/>
      <c r="M765" s="2214"/>
      <c r="T765" s="2215"/>
      <c r="AT765" s="2211" t="s">
        <v>3303</v>
      </c>
      <c r="AU765" s="2211" t="s">
        <v>134</v>
      </c>
      <c r="AV765" s="2209" t="s">
        <v>134</v>
      </c>
      <c r="AW765" s="2209" t="s">
        <v>3171</v>
      </c>
      <c r="AX765" s="2209" t="s">
        <v>3213</v>
      </c>
      <c r="AY765" s="2211" t="s">
        <v>3285</v>
      </c>
    </row>
    <row r="766" spans="2:65" s="2216" customFormat="1">
      <c r="B766" s="2217"/>
      <c r="D766" s="2197" t="s">
        <v>3303</v>
      </c>
      <c r="E766" s="2218" t="s">
        <v>3146</v>
      </c>
      <c r="F766" s="2219" t="s">
        <v>3306</v>
      </c>
      <c r="H766" s="2220">
        <v>193.92</v>
      </c>
      <c r="L766" s="2217"/>
      <c r="M766" s="2221"/>
      <c r="T766" s="2222"/>
      <c r="AT766" s="2218" t="s">
        <v>3303</v>
      </c>
      <c r="AU766" s="2218" t="s">
        <v>134</v>
      </c>
      <c r="AV766" s="2216" t="s">
        <v>856</v>
      </c>
      <c r="AW766" s="2216" t="s">
        <v>3171</v>
      </c>
      <c r="AX766" s="2216" t="s">
        <v>133</v>
      </c>
      <c r="AY766" s="2218" t="s">
        <v>3285</v>
      </c>
    </row>
    <row r="767" spans="2:65" s="2070" customFormat="1" ht="24.2" customHeight="1">
      <c r="B767" s="2164"/>
      <c r="C767" s="4614" t="s">
        <v>3995</v>
      </c>
      <c r="D767" s="4614" t="s">
        <v>135</v>
      </c>
      <c r="E767" s="4615" t="s">
        <v>5153</v>
      </c>
      <c r="F767" s="4616" t="s">
        <v>5154</v>
      </c>
      <c r="G767" s="4617" t="s">
        <v>141</v>
      </c>
      <c r="H767" s="4618">
        <v>213.31200000000001</v>
      </c>
      <c r="I767" s="4619"/>
      <c r="J767" s="4619">
        <f>ROUND(I767*H767,2)</f>
        <v>0</v>
      </c>
      <c r="K767" s="4616" t="s">
        <v>142</v>
      </c>
      <c r="L767" s="2223"/>
      <c r="M767" s="2224" t="s">
        <v>3146</v>
      </c>
      <c r="N767" s="2225" t="s">
        <v>3181</v>
      </c>
      <c r="O767" s="2191">
        <v>0</v>
      </c>
      <c r="P767" s="2191">
        <f>O767*H767</f>
        <v>0</v>
      </c>
      <c r="Q767" s="2191">
        <v>6.0000000000000002E-5</v>
      </c>
      <c r="R767" s="2191">
        <f>Q767*H767</f>
        <v>1.2798720000000001E-2</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5155</v>
      </c>
    </row>
    <row r="768" spans="2:65" s="2209" customFormat="1">
      <c r="B768" s="2210"/>
      <c r="D768" s="2197" t="s">
        <v>3303</v>
      </c>
      <c r="F768" s="2212" t="s">
        <v>5156</v>
      </c>
      <c r="H768" s="2213">
        <v>213.31200000000001</v>
      </c>
      <c r="L768" s="2210"/>
      <c r="M768" s="2214"/>
      <c r="T768" s="2215"/>
      <c r="AT768" s="2211" t="s">
        <v>3303</v>
      </c>
      <c r="AU768" s="2211" t="s">
        <v>134</v>
      </c>
      <c r="AV768" s="2209" t="s">
        <v>134</v>
      </c>
      <c r="AW768" s="2209" t="s">
        <v>3148</v>
      </c>
      <c r="AX768" s="2209" t="s">
        <v>133</v>
      </c>
      <c r="AY768" s="2211" t="s">
        <v>3285</v>
      </c>
    </row>
    <row r="769" spans="2:65" s="2070" customFormat="1" ht="33" customHeight="1">
      <c r="B769" s="2164"/>
      <c r="C769" s="5561" t="s">
        <v>3999</v>
      </c>
      <c r="D769" s="4608" t="s">
        <v>3286</v>
      </c>
      <c r="E769" s="4609" t="s">
        <v>5157</v>
      </c>
      <c r="F769" s="4610" t="s">
        <v>5158</v>
      </c>
      <c r="G769" s="4611" t="s">
        <v>141</v>
      </c>
      <c r="H769" s="4612">
        <v>27.8</v>
      </c>
      <c r="I769" s="5876" t="s">
        <v>11555</v>
      </c>
      <c r="J769" s="5877"/>
      <c r="K769" s="4610" t="s">
        <v>142</v>
      </c>
      <c r="L769" s="2071"/>
      <c r="M769" s="2190" t="s">
        <v>3146</v>
      </c>
      <c r="N769" s="2163" t="s">
        <v>3181</v>
      </c>
      <c r="O769" s="2191">
        <v>1.1459999999999999</v>
      </c>
      <c r="P769" s="2191">
        <f>O769*H769</f>
        <v>31.858799999999999</v>
      </c>
      <c r="Q769" s="2191">
        <v>2.0699999999999998E-3</v>
      </c>
      <c r="R769" s="2191">
        <f>Q769*H769</f>
        <v>5.7545999999999993E-2</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v>0</v>
      </c>
      <c r="BL769" s="2056" t="s">
        <v>2894</v>
      </c>
      <c r="BM769" s="2193" t="s">
        <v>5159</v>
      </c>
    </row>
    <row r="770" spans="2:65" s="2195" customFormat="1">
      <c r="B770" s="2196"/>
      <c r="D770" s="2197" t="s">
        <v>3303</v>
      </c>
      <c r="E770" s="2198" t="s">
        <v>3146</v>
      </c>
      <c r="F770" s="2199" t="s">
        <v>5160</v>
      </c>
      <c r="H770" s="2198" t="s">
        <v>3146</v>
      </c>
      <c r="L770" s="2196"/>
      <c r="M770" s="2200"/>
      <c r="T770" s="2201"/>
      <c r="AT770" s="2198" t="s">
        <v>3303</v>
      </c>
      <c r="AU770" s="2198" t="s">
        <v>134</v>
      </c>
      <c r="AV770" s="2195" t="s">
        <v>133</v>
      </c>
      <c r="AW770" s="2195" t="s">
        <v>3171</v>
      </c>
      <c r="AX770" s="2195" t="s">
        <v>3213</v>
      </c>
      <c r="AY770" s="2198" t="s">
        <v>3285</v>
      </c>
    </row>
    <row r="771" spans="2:65" s="2209" customFormat="1">
      <c r="B771" s="2210"/>
      <c r="D771" s="2197" t="s">
        <v>3303</v>
      </c>
      <c r="E771" s="2211" t="s">
        <v>3146</v>
      </c>
      <c r="F771" s="2212" t="s">
        <v>5161</v>
      </c>
      <c r="H771" s="2213">
        <v>14.4</v>
      </c>
      <c r="L771" s="2210"/>
      <c r="M771" s="2214"/>
      <c r="T771" s="2215"/>
      <c r="AT771" s="2211" t="s">
        <v>3303</v>
      </c>
      <c r="AU771" s="2211" t="s">
        <v>134</v>
      </c>
      <c r="AV771" s="2209" t="s">
        <v>134</v>
      </c>
      <c r="AW771" s="2209" t="s">
        <v>3171</v>
      </c>
      <c r="AX771" s="2209" t="s">
        <v>3213</v>
      </c>
      <c r="AY771" s="2211" t="s">
        <v>3285</v>
      </c>
    </row>
    <row r="772" spans="2:65" s="2209" customFormat="1">
      <c r="B772" s="2210"/>
      <c r="D772" s="2197" t="s">
        <v>3303</v>
      </c>
      <c r="E772" s="2211" t="s">
        <v>3146</v>
      </c>
      <c r="F772" s="2212" t="s">
        <v>5162</v>
      </c>
      <c r="H772" s="2213">
        <v>13.4</v>
      </c>
      <c r="L772" s="2210"/>
      <c r="M772" s="2214"/>
      <c r="T772" s="2215"/>
      <c r="AT772" s="2211" t="s">
        <v>3303</v>
      </c>
      <c r="AU772" s="2211" t="s">
        <v>134</v>
      </c>
      <c r="AV772" s="2209" t="s">
        <v>134</v>
      </c>
      <c r="AW772" s="2209" t="s">
        <v>3171</v>
      </c>
      <c r="AX772" s="2209" t="s">
        <v>3213</v>
      </c>
      <c r="AY772" s="2211" t="s">
        <v>3285</v>
      </c>
    </row>
    <row r="773" spans="2:65" s="2216" customFormat="1">
      <c r="B773" s="2217"/>
      <c r="D773" s="2197" t="s">
        <v>3303</v>
      </c>
      <c r="E773" s="2218" t="s">
        <v>3146</v>
      </c>
      <c r="F773" s="2219" t="s">
        <v>3306</v>
      </c>
      <c r="H773" s="2220">
        <v>27.8</v>
      </c>
      <c r="L773" s="2217"/>
      <c r="M773" s="2221"/>
      <c r="T773" s="2222"/>
      <c r="AT773" s="2218" t="s">
        <v>3303</v>
      </c>
      <c r="AU773" s="2218" t="s">
        <v>134</v>
      </c>
      <c r="AV773" s="2216" t="s">
        <v>856</v>
      </c>
      <c r="AW773" s="2216" t="s">
        <v>3171</v>
      </c>
      <c r="AX773" s="2216" t="s">
        <v>133</v>
      </c>
      <c r="AY773" s="2218" t="s">
        <v>3285</v>
      </c>
    </row>
    <row r="774" spans="2:65" s="2070" customFormat="1" ht="24.2" customHeight="1">
      <c r="B774" s="2164"/>
      <c r="C774" s="5561" t="s">
        <v>4003</v>
      </c>
      <c r="D774" s="4608" t="s">
        <v>3286</v>
      </c>
      <c r="E774" s="4609" t="s">
        <v>11224</v>
      </c>
      <c r="F774" s="4610" t="s">
        <v>11225</v>
      </c>
      <c r="G774" s="4611" t="s">
        <v>155</v>
      </c>
      <c r="H774" s="4612">
        <v>30</v>
      </c>
      <c r="I774" s="5876" t="s">
        <v>11555</v>
      </c>
      <c r="J774" s="5877"/>
      <c r="K774" s="4610" t="s">
        <v>142</v>
      </c>
      <c r="L774" s="2071"/>
      <c r="M774" s="2190" t="s">
        <v>3146</v>
      </c>
      <c r="N774" s="2163" t="s">
        <v>3181</v>
      </c>
      <c r="O774" s="2191">
        <v>1.6819999999999999</v>
      </c>
      <c r="P774" s="2191">
        <f>O774*H774</f>
        <v>50.46</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v>0</v>
      </c>
      <c r="BL774" s="2056" t="s">
        <v>2894</v>
      </c>
      <c r="BM774" s="2193" t="s">
        <v>11226</v>
      </c>
    </row>
    <row r="775" spans="2:65" s="2209" customFormat="1">
      <c r="B775" s="2210"/>
      <c r="D775" s="2197" t="s">
        <v>3303</v>
      </c>
      <c r="E775" s="2211" t="s">
        <v>3146</v>
      </c>
      <c r="F775" s="2212" t="s">
        <v>11227</v>
      </c>
      <c r="H775" s="2213">
        <v>13</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11228</v>
      </c>
      <c r="H776" s="2213">
        <v>7</v>
      </c>
      <c r="L776" s="2210"/>
      <c r="M776" s="2214"/>
      <c r="T776" s="2215"/>
      <c r="AT776" s="2211" t="s">
        <v>3303</v>
      </c>
      <c r="AU776" s="2211" t="s">
        <v>134</v>
      </c>
      <c r="AV776" s="2209" t="s">
        <v>134</v>
      </c>
      <c r="AW776" s="2209" t="s">
        <v>3171</v>
      </c>
      <c r="AX776" s="2209" t="s">
        <v>3213</v>
      </c>
      <c r="AY776" s="2211" t="s">
        <v>3285</v>
      </c>
    </row>
    <row r="777" spans="2:65" s="2209" customFormat="1">
      <c r="B777" s="2210"/>
      <c r="D777" s="2197" t="s">
        <v>3303</v>
      </c>
      <c r="E777" s="2211" t="s">
        <v>3146</v>
      </c>
      <c r="F777" s="2212" t="s">
        <v>11229</v>
      </c>
      <c r="H777" s="2213">
        <v>5</v>
      </c>
      <c r="L777" s="2210"/>
      <c r="M777" s="2214"/>
      <c r="T777" s="2215"/>
      <c r="AT777" s="2211" t="s">
        <v>3303</v>
      </c>
      <c r="AU777" s="2211" t="s">
        <v>134</v>
      </c>
      <c r="AV777" s="2209" t="s">
        <v>134</v>
      </c>
      <c r="AW777" s="2209" t="s">
        <v>3171</v>
      </c>
      <c r="AX777" s="2209" t="s">
        <v>3213</v>
      </c>
      <c r="AY777" s="2211" t="s">
        <v>3285</v>
      </c>
    </row>
    <row r="778" spans="2:65" s="2209" customFormat="1">
      <c r="B778" s="2210"/>
      <c r="D778" s="2197" t="s">
        <v>3303</v>
      </c>
      <c r="E778" s="2211" t="s">
        <v>3146</v>
      </c>
      <c r="F778" s="2212" t="s">
        <v>11229</v>
      </c>
      <c r="H778" s="2213">
        <v>5</v>
      </c>
      <c r="L778" s="2210"/>
      <c r="M778" s="2214"/>
      <c r="T778" s="2215"/>
      <c r="AT778" s="2211" t="s">
        <v>3303</v>
      </c>
      <c r="AU778" s="2211" t="s">
        <v>134</v>
      </c>
      <c r="AV778" s="2209" t="s">
        <v>134</v>
      </c>
      <c r="AW778" s="2209" t="s">
        <v>3171</v>
      </c>
      <c r="AX778" s="2209" t="s">
        <v>3213</v>
      </c>
      <c r="AY778" s="2211" t="s">
        <v>3285</v>
      </c>
    </row>
    <row r="779" spans="2:65" s="2216" customFormat="1">
      <c r="B779" s="2217"/>
      <c r="D779" s="2197" t="s">
        <v>3303</v>
      </c>
      <c r="E779" s="2218" t="s">
        <v>3146</v>
      </c>
      <c r="F779" s="2219" t="s">
        <v>3306</v>
      </c>
      <c r="H779" s="2220">
        <v>30</v>
      </c>
      <c r="L779" s="2217"/>
      <c r="M779" s="2221"/>
      <c r="T779" s="2222"/>
      <c r="AT779" s="2218" t="s">
        <v>3303</v>
      </c>
      <c r="AU779" s="2218" t="s">
        <v>134</v>
      </c>
      <c r="AV779" s="2216" t="s">
        <v>856</v>
      </c>
      <c r="AW779" s="2216" t="s">
        <v>3171</v>
      </c>
      <c r="AX779" s="2216" t="s">
        <v>133</v>
      </c>
      <c r="AY779" s="2218" t="s">
        <v>3285</v>
      </c>
    </row>
    <row r="780" spans="2:65" s="2070" customFormat="1" ht="24.2" customHeight="1">
      <c r="B780" s="2164"/>
      <c r="C780" s="5609" t="s">
        <v>4009</v>
      </c>
      <c r="D780" s="4614" t="s">
        <v>135</v>
      </c>
      <c r="E780" s="4615" t="s">
        <v>11230</v>
      </c>
      <c r="F780" s="4616" t="s">
        <v>11231</v>
      </c>
      <c r="G780" s="4617" t="s">
        <v>155</v>
      </c>
      <c r="H780" s="4618">
        <v>30</v>
      </c>
      <c r="I780" s="5876" t="s">
        <v>11555</v>
      </c>
      <c r="J780" s="5877"/>
      <c r="K780" s="4616" t="s">
        <v>142</v>
      </c>
      <c r="L780" s="2223"/>
      <c r="M780" s="2224" t="s">
        <v>3146</v>
      </c>
      <c r="N780" s="2225" t="s">
        <v>3181</v>
      </c>
      <c r="O780" s="2191">
        <v>0</v>
      </c>
      <c r="P780" s="2191">
        <f>O780*H780</f>
        <v>0</v>
      </c>
      <c r="Q780" s="2191">
        <v>1.6E-2</v>
      </c>
      <c r="R780" s="2191">
        <f>Q780*H780</f>
        <v>0.48</v>
      </c>
      <c r="S780" s="2191">
        <v>0</v>
      </c>
      <c r="T780" s="2192">
        <f>S780*H780</f>
        <v>0</v>
      </c>
      <c r="AR780" s="2193" t="s">
        <v>3389</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v>0</v>
      </c>
      <c r="BL780" s="2056" t="s">
        <v>2894</v>
      </c>
      <c r="BM780" s="2193" t="s">
        <v>11232</v>
      </c>
    </row>
    <row r="781" spans="2:65" s="2070" customFormat="1" ht="24.2" customHeight="1">
      <c r="B781" s="2164"/>
      <c r="C781" s="5561" t="s">
        <v>4019</v>
      </c>
      <c r="D781" s="4608" t="s">
        <v>3286</v>
      </c>
      <c r="E781" s="4609" t="s">
        <v>11233</v>
      </c>
      <c r="F781" s="4610" t="s">
        <v>11234</v>
      </c>
      <c r="G781" s="4611" t="s">
        <v>155</v>
      </c>
      <c r="H781" s="4612">
        <v>19</v>
      </c>
      <c r="I781" s="5876" t="s">
        <v>11555</v>
      </c>
      <c r="J781" s="5877"/>
      <c r="K781" s="4610" t="s">
        <v>142</v>
      </c>
      <c r="L781" s="2071"/>
      <c r="M781" s="2190" t="s">
        <v>3146</v>
      </c>
      <c r="N781" s="2163" t="s">
        <v>3181</v>
      </c>
      <c r="O781" s="2191">
        <v>1.825</v>
      </c>
      <c r="P781" s="2191">
        <f>O781*H781</f>
        <v>34.674999999999997</v>
      </c>
      <c r="Q781" s="2191">
        <v>0</v>
      </c>
      <c r="R781" s="2191">
        <f>Q781*H781</f>
        <v>0</v>
      </c>
      <c r="S781" s="2191">
        <v>0</v>
      </c>
      <c r="T781" s="2192">
        <f>S781*H781</f>
        <v>0</v>
      </c>
      <c r="AR781" s="2193" t="s">
        <v>2894</v>
      </c>
      <c r="AT781" s="2193" t="s">
        <v>3286</v>
      </c>
      <c r="AU781" s="2193" t="s">
        <v>134</v>
      </c>
      <c r="AY781" s="2056" t="s">
        <v>3285</v>
      </c>
      <c r="BE781" s="2194">
        <f>IF(N781="základní",J781,0)</f>
        <v>0</v>
      </c>
      <c r="BF781" s="2194">
        <f>IF(N781="snížená",J781,0)</f>
        <v>0</v>
      </c>
      <c r="BG781" s="2194">
        <f>IF(N781="zákl. přenesená",J781,0)</f>
        <v>0</v>
      </c>
      <c r="BH781" s="2194">
        <f>IF(N781="sníž. přenesená",J781,0)</f>
        <v>0</v>
      </c>
      <c r="BI781" s="2194">
        <f>IF(N781="nulová",J781,0)</f>
        <v>0</v>
      </c>
      <c r="BJ781" s="2056" t="s">
        <v>134</v>
      </c>
      <c r="BK781" s="2194">
        <v>0</v>
      </c>
      <c r="BL781" s="2056" t="s">
        <v>2894</v>
      </c>
      <c r="BM781" s="2193" t="s">
        <v>11235</v>
      </c>
    </row>
    <row r="782" spans="2:65" s="2209" customFormat="1">
      <c r="B782" s="2210"/>
      <c r="D782" s="2197" t="s">
        <v>3303</v>
      </c>
      <c r="E782" s="2211" t="s">
        <v>3146</v>
      </c>
      <c r="F782" s="2212" t="s">
        <v>4991</v>
      </c>
      <c r="H782" s="2213">
        <v>5</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11236</v>
      </c>
      <c r="H783" s="2213">
        <v>9</v>
      </c>
      <c r="L783" s="2210"/>
      <c r="M783" s="2214"/>
      <c r="T783" s="2215"/>
      <c r="AT783" s="2211" t="s">
        <v>3303</v>
      </c>
      <c r="AU783" s="2211" t="s">
        <v>134</v>
      </c>
      <c r="AV783" s="2209" t="s">
        <v>134</v>
      </c>
      <c r="AW783" s="2209" t="s">
        <v>3171</v>
      </c>
      <c r="AX783" s="2209" t="s">
        <v>3213</v>
      </c>
      <c r="AY783" s="2211" t="s">
        <v>3285</v>
      </c>
    </row>
    <row r="784" spans="2:65" s="2209" customFormat="1">
      <c r="B784" s="2210"/>
      <c r="D784" s="2197" t="s">
        <v>3303</v>
      </c>
      <c r="E784" s="2211" t="s">
        <v>3146</v>
      </c>
      <c r="F784" s="2212" t="s">
        <v>5610</v>
      </c>
      <c r="H784" s="2213">
        <v>3</v>
      </c>
      <c r="L784" s="2210"/>
      <c r="M784" s="2214"/>
      <c r="T784" s="2215"/>
      <c r="AT784" s="2211" t="s">
        <v>3303</v>
      </c>
      <c r="AU784" s="2211" t="s">
        <v>134</v>
      </c>
      <c r="AV784" s="2209" t="s">
        <v>134</v>
      </c>
      <c r="AW784" s="2209" t="s">
        <v>3171</v>
      </c>
      <c r="AX784" s="2209" t="s">
        <v>3213</v>
      </c>
      <c r="AY784" s="2211" t="s">
        <v>3285</v>
      </c>
    </row>
    <row r="785" spans="2:65" s="2209" customFormat="1">
      <c r="B785" s="2210"/>
      <c r="D785" s="2197" t="s">
        <v>3303</v>
      </c>
      <c r="E785" s="2211" t="s">
        <v>3146</v>
      </c>
      <c r="F785" s="2212" t="s">
        <v>4796</v>
      </c>
      <c r="H785" s="2213">
        <v>2</v>
      </c>
      <c r="L785" s="2210"/>
      <c r="M785" s="2214"/>
      <c r="T785" s="2215"/>
      <c r="AT785" s="2211" t="s">
        <v>3303</v>
      </c>
      <c r="AU785" s="2211" t="s">
        <v>134</v>
      </c>
      <c r="AV785" s="2209" t="s">
        <v>134</v>
      </c>
      <c r="AW785" s="2209" t="s">
        <v>3171</v>
      </c>
      <c r="AX785" s="2209" t="s">
        <v>3213</v>
      </c>
      <c r="AY785" s="2211" t="s">
        <v>3285</v>
      </c>
    </row>
    <row r="786" spans="2:65" s="2216" customFormat="1">
      <c r="B786" s="2217"/>
      <c r="D786" s="2197" t="s">
        <v>3303</v>
      </c>
      <c r="E786" s="2218" t="s">
        <v>3146</v>
      </c>
      <c r="F786" s="2219" t="s">
        <v>3306</v>
      </c>
      <c r="H786" s="2220">
        <v>19</v>
      </c>
      <c r="L786" s="2217"/>
      <c r="M786" s="2221"/>
      <c r="T786" s="2222"/>
      <c r="AT786" s="2218" t="s">
        <v>3303</v>
      </c>
      <c r="AU786" s="2218" t="s">
        <v>134</v>
      </c>
      <c r="AV786" s="2216" t="s">
        <v>856</v>
      </c>
      <c r="AW786" s="2216" t="s">
        <v>3171</v>
      </c>
      <c r="AX786" s="2216" t="s">
        <v>133</v>
      </c>
      <c r="AY786" s="2218" t="s">
        <v>3285</v>
      </c>
    </row>
    <row r="787" spans="2:65" s="2070" customFormat="1" ht="24.2" customHeight="1">
      <c r="B787" s="2164"/>
      <c r="C787" s="5609" t="s">
        <v>4024</v>
      </c>
      <c r="D787" s="4614" t="s">
        <v>135</v>
      </c>
      <c r="E787" s="4615" t="s">
        <v>11237</v>
      </c>
      <c r="F787" s="4616" t="s">
        <v>11238</v>
      </c>
      <c r="G787" s="4617" t="s">
        <v>155</v>
      </c>
      <c r="H787" s="4618">
        <v>8</v>
      </c>
      <c r="I787" s="5876" t="s">
        <v>11555</v>
      </c>
      <c r="J787" s="5877"/>
      <c r="K787" s="4616" t="s">
        <v>142</v>
      </c>
      <c r="L787" s="2223"/>
      <c r="M787" s="2224" t="s">
        <v>3146</v>
      </c>
      <c r="N787" s="2225" t="s">
        <v>3181</v>
      </c>
      <c r="O787" s="2191">
        <v>0</v>
      </c>
      <c r="P787" s="2191">
        <f>O787*H787</f>
        <v>0</v>
      </c>
      <c r="Q787" s="2191">
        <v>1.7000000000000001E-2</v>
      </c>
      <c r="R787" s="2191">
        <f>Q787*H787</f>
        <v>0.13600000000000001</v>
      </c>
      <c r="S787" s="2191">
        <v>0</v>
      </c>
      <c r="T787" s="2192">
        <f>S787*H787</f>
        <v>0</v>
      </c>
      <c r="AR787" s="2193" t="s">
        <v>3389</v>
      </c>
      <c r="AT787" s="2193" t="s">
        <v>135</v>
      </c>
      <c r="AU787" s="2193" t="s">
        <v>134</v>
      </c>
      <c r="AY787" s="2056" t="s">
        <v>3285</v>
      </c>
      <c r="BE787" s="2194">
        <f>IF(N787="základní",J787,0)</f>
        <v>0</v>
      </c>
      <c r="BF787" s="2194">
        <f>IF(N787="snížená",J787,0)</f>
        <v>0</v>
      </c>
      <c r="BG787" s="2194">
        <f>IF(N787="zákl. přenesená",J787,0)</f>
        <v>0</v>
      </c>
      <c r="BH787" s="2194">
        <f>IF(N787="sníž. přenesená",J787,0)</f>
        <v>0</v>
      </c>
      <c r="BI787" s="2194">
        <f>IF(N787="nulová",J787,0)</f>
        <v>0</v>
      </c>
      <c r="BJ787" s="2056" t="s">
        <v>134</v>
      </c>
      <c r="BK787" s="2194">
        <v>0</v>
      </c>
      <c r="BL787" s="2056" t="s">
        <v>2894</v>
      </c>
      <c r="BM787" s="2193" t="s">
        <v>11239</v>
      </c>
    </row>
    <row r="788" spans="2:65" s="2209" customFormat="1">
      <c r="B788" s="2210"/>
      <c r="D788" s="2197" t="s">
        <v>3303</v>
      </c>
      <c r="E788" s="2211" t="s">
        <v>3146</v>
      </c>
      <c r="F788" s="2212" t="s">
        <v>133</v>
      </c>
      <c r="H788" s="2213">
        <v>1</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854</v>
      </c>
      <c r="H789" s="2213">
        <v>3</v>
      </c>
      <c r="L789" s="2210"/>
      <c r="M789" s="2214"/>
      <c r="T789" s="2215"/>
      <c r="AT789" s="2211" t="s">
        <v>3303</v>
      </c>
      <c r="AU789" s="2211" t="s">
        <v>134</v>
      </c>
      <c r="AV789" s="2209" t="s">
        <v>134</v>
      </c>
      <c r="AW789" s="2209" t="s">
        <v>3171</v>
      </c>
      <c r="AX789" s="2209" t="s">
        <v>3213</v>
      </c>
      <c r="AY789" s="2211" t="s">
        <v>3285</v>
      </c>
    </row>
    <row r="790" spans="2:65" s="2209" customFormat="1">
      <c r="B790" s="2210"/>
      <c r="D790" s="2197" t="s">
        <v>3303</v>
      </c>
      <c r="E790" s="2211" t="s">
        <v>3146</v>
      </c>
      <c r="F790" s="2212" t="s">
        <v>134</v>
      </c>
      <c r="H790" s="2213">
        <v>2</v>
      </c>
      <c r="L790" s="2210"/>
      <c r="M790" s="2214"/>
      <c r="T790" s="2215"/>
      <c r="AT790" s="2211" t="s">
        <v>3303</v>
      </c>
      <c r="AU790" s="2211" t="s">
        <v>134</v>
      </c>
      <c r="AV790" s="2209" t="s">
        <v>134</v>
      </c>
      <c r="AW790" s="2209" t="s">
        <v>3171</v>
      </c>
      <c r="AX790" s="2209" t="s">
        <v>3213</v>
      </c>
      <c r="AY790" s="2211" t="s">
        <v>3285</v>
      </c>
    </row>
    <row r="791" spans="2:65" s="2209" customFormat="1">
      <c r="B791" s="2210"/>
      <c r="D791" s="2197" t="s">
        <v>3303</v>
      </c>
      <c r="E791" s="2211" t="s">
        <v>3146</v>
      </c>
      <c r="F791" s="2212" t="s">
        <v>134</v>
      </c>
      <c r="H791" s="2213">
        <v>2</v>
      </c>
      <c r="L791" s="2210"/>
      <c r="M791" s="2214"/>
      <c r="T791" s="2215"/>
      <c r="AT791" s="2211" t="s">
        <v>3303</v>
      </c>
      <c r="AU791" s="2211" t="s">
        <v>134</v>
      </c>
      <c r="AV791" s="2209" t="s">
        <v>134</v>
      </c>
      <c r="AW791" s="2209" t="s">
        <v>3171</v>
      </c>
      <c r="AX791" s="2209" t="s">
        <v>3213</v>
      </c>
      <c r="AY791" s="2211" t="s">
        <v>3285</v>
      </c>
    </row>
    <row r="792" spans="2:65" s="2216" customFormat="1">
      <c r="B792" s="2217"/>
      <c r="D792" s="2197" t="s">
        <v>3303</v>
      </c>
      <c r="E792" s="2218" t="s">
        <v>3146</v>
      </c>
      <c r="F792" s="2219" t="s">
        <v>3306</v>
      </c>
      <c r="H792" s="2220">
        <v>8</v>
      </c>
      <c r="L792" s="2217"/>
      <c r="M792" s="2221"/>
      <c r="T792" s="2222"/>
      <c r="AT792" s="2218" t="s">
        <v>3303</v>
      </c>
      <c r="AU792" s="2218" t="s">
        <v>134</v>
      </c>
      <c r="AV792" s="2216" t="s">
        <v>856</v>
      </c>
      <c r="AW792" s="2216" t="s">
        <v>3171</v>
      </c>
      <c r="AX792" s="2216" t="s">
        <v>133</v>
      </c>
      <c r="AY792" s="2218" t="s">
        <v>3285</v>
      </c>
    </row>
    <row r="793" spans="2:65" s="2070" customFormat="1" ht="24.2" customHeight="1">
      <c r="B793" s="2164"/>
      <c r="C793" s="5609" t="s">
        <v>4029</v>
      </c>
      <c r="D793" s="4614" t="s">
        <v>135</v>
      </c>
      <c r="E793" s="4615" t="s">
        <v>11240</v>
      </c>
      <c r="F793" s="4616" t="s">
        <v>11241</v>
      </c>
      <c r="G793" s="4617" t="s">
        <v>155</v>
      </c>
      <c r="H793" s="4618">
        <v>2</v>
      </c>
      <c r="I793" s="5876" t="s">
        <v>11555</v>
      </c>
      <c r="J793" s="5877"/>
      <c r="K793" s="4616" t="s">
        <v>142</v>
      </c>
      <c r="L793" s="2223"/>
      <c r="M793" s="2224" t="s">
        <v>3146</v>
      </c>
      <c r="N793" s="2225" t="s">
        <v>3181</v>
      </c>
      <c r="O793" s="2191">
        <v>0</v>
      </c>
      <c r="P793" s="2191">
        <f>O793*H793</f>
        <v>0</v>
      </c>
      <c r="Q793" s="2191">
        <v>1.8499999999999999E-2</v>
      </c>
      <c r="R793" s="2191">
        <f>Q793*H793</f>
        <v>3.6999999999999998E-2</v>
      </c>
      <c r="S793" s="2191">
        <v>0</v>
      </c>
      <c r="T793" s="2192">
        <f>S793*H793</f>
        <v>0</v>
      </c>
      <c r="AR793" s="2193" t="s">
        <v>3389</v>
      </c>
      <c r="AT793" s="2193" t="s">
        <v>135</v>
      </c>
      <c r="AU793" s="2193" t="s">
        <v>134</v>
      </c>
      <c r="AY793" s="2056" t="s">
        <v>3285</v>
      </c>
      <c r="BE793" s="2194">
        <f>IF(N793="základní",J793,0)</f>
        <v>0</v>
      </c>
      <c r="BF793" s="2194">
        <f>IF(N793="snížená",J793,0)</f>
        <v>0</v>
      </c>
      <c r="BG793" s="2194">
        <f>IF(N793="zákl. přenesená",J793,0)</f>
        <v>0</v>
      </c>
      <c r="BH793" s="2194">
        <f>IF(N793="sníž. přenesená",J793,0)</f>
        <v>0</v>
      </c>
      <c r="BI793" s="2194">
        <f>IF(N793="nulová",J793,0)</f>
        <v>0</v>
      </c>
      <c r="BJ793" s="2056" t="s">
        <v>134</v>
      </c>
      <c r="BK793" s="2194">
        <v>0</v>
      </c>
      <c r="BL793" s="2056" t="s">
        <v>2894</v>
      </c>
      <c r="BM793" s="2193" t="s">
        <v>11242</v>
      </c>
    </row>
    <row r="794" spans="2:65" s="2209" customFormat="1">
      <c r="B794" s="2210"/>
      <c r="D794" s="2197" t="s">
        <v>3303</v>
      </c>
      <c r="E794" s="2211" t="s">
        <v>3146</v>
      </c>
      <c r="F794" s="2212" t="s">
        <v>4796</v>
      </c>
      <c r="H794" s="2213">
        <v>2</v>
      </c>
      <c r="L794" s="2210"/>
      <c r="M794" s="2214"/>
      <c r="T794" s="2215"/>
      <c r="AT794" s="2211" t="s">
        <v>3303</v>
      </c>
      <c r="AU794" s="2211" t="s">
        <v>134</v>
      </c>
      <c r="AV794" s="2209" t="s">
        <v>134</v>
      </c>
      <c r="AW794" s="2209" t="s">
        <v>3171</v>
      </c>
      <c r="AX794" s="2209" t="s">
        <v>3213</v>
      </c>
      <c r="AY794" s="2211" t="s">
        <v>3285</v>
      </c>
    </row>
    <row r="795" spans="2:65" s="2216" customFormat="1">
      <c r="B795" s="2217"/>
      <c r="D795" s="2197" t="s">
        <v>3303</v>
      </c>
      <c r="E795" s="2218" t="s">
        <v>3146</v>
      </c>
      <c r="F795" s="2219" t="s">
        <v>3306</v>
      </c>
      <c r="H795" s="2220">
        <v>2</v>
      </c>
      <c r="L795" s="2217"/>
      <c r="M795" s="2221"/>
      <c r="T795" s="2222"/>
      <c r="AT795" s="2218" t="s">
        <v>3303</v>
      </c>
      <c r="AU795" s="2218" t="s">
        <v>134</v>
      </c>
      <c r="AV795" s="2216" t="s">
        <v>856</v>
      </c>
      <c r="AW795" s="2216" t="s">
        <v>3171</v>
      </c>
      <c r="AX795" s="2216" t="s">
        <v>133</v>
      </c>
      <c r="AY795" s="2218" t="s">
        <v>3285</v>
      </c>
    </row>
    <row r="796" spans="2:65" s="2070" customFormat="1" ht="24.2" customHeight="1">
      <c r="B796" s="2164"/>
      <c r="C796" s="5609" t="s">
        <v>4032</v>
      </c>
      <c r="D796" s="4614" t="s">
        <v>135</v>
      </c>
      <c r="E796" s="4615" t="s">
        <v>11243</v>
      </c>
      <c r="F796" s="4616" t="s">
        <v>11244</v>
      </c>
      <c r="G796" s="4617" t="s">
        <v>155</v>
      </c>
      <c r="H796" s="4618">
        <v>9</v>
      </c>
      <c r="I796" s="5876" t="s">
        <v>11555</v>
      </c>
      <c r="J796" s="5877"/>
      <c r="K796" s="4616" t="s">
        <v>142</v>
      </c>
      <c r="L796" s="2223"/>
      <c r="M796" s="2224" t="s">
        <v>3146</v>
      </c>
      <c r="N796" s="2225" t="s">
        <v>3181</v>
      </c>
      <c r="O796" s="2191">
        <v>0</v>
      </c>
      <c r="P796" s="2191">
        <f>O796*H796</f>
        <v>0</v>
      </c>
      <c r="Q796" s="2191">
        <v>1.95E-2</v>
      </c>
      <c r="R796" s="2191">
        <f>Q796*H796</f>
        <v>0.17549999999999999</v>
      </c>
      <c r="S796" s="2191">
        <v>0</v>
      </c>
      <c r="T796" s="2192">
        <f>S796*H796</f>
        <v>0</v>
      </c>
      <c r="AR796" s="2193" t="s">
        <v>3389</v>
      </c>
      <c r="AT796" s="2193" t="s">
        <v>135</v>
      </c>
      <c r="AU796" s="2193" t="s">
        <v>134</v>
      </c>
      <c r="AY796" s="2056" t="s">
        <v>3285</v>
      </c>
      <c r="BE796" s="2194">
        <f>IF(N796="základní",J796,0)</f>
        <v>0</v>
      </c>
      <c r="BF796" s="2194">
        <f>IF(N796="snížená",J796,0)</f>
        <v>0</v>
      </c>
      <c r="BG796" s="2194">
        <f>IF(N796="zákl. přenesená",J796,0)</f>
        <v>0</v>
      </c>
      <c r="BH796" s="2194">
        <f>IF(N796="sníž. přenesená",J796,0)</f>
        <v>0</v>
      </c>
      <c r="BI796" s="2194">
        <f>IF(N796="nulová",J796,0)</f>
        <v>0</v>
      </c>
      <c r="BJ796" s="2056" t="s">
        <v>134</v>
      </c>
      <c r="BK796" s="2194">
        <v>0</v>
      </c>
      <c r="BL796" s="2056" t="s">
        <v>2894</v>
      </c>
      <c r="BM796" s="2193" t="s">
        <v>11245</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11246</v>
      </c>
      <c r="H798" s="2213">
        <v>6</v>
      </c>
      <c r="L798" s="2210"/>
      <c r="M798" s="2214"/>
      <c r="T798" s="2215"/>
      <c r="AT798" s="2211" t="s">
        <v>3303</v>
      </c>
      <c r="AU798" s="2211" t="s">
        <v>134</v>
      </c>
      <c r="AV798" s="2209" t="s">
        <v>134</v>
      </c>
      <c r="AW798" s="2209" t="s">
        <v>3171</v>
      </c>
      <c r="AX798" s="2209" t="s">
        <v>3213</v>
      </c>
      <c r="AY798" s="2211" t="s">
        <v>3285</v>
      </c>
    </row>
    <row r="799" spans="2:65" s="2209" customFormat="1">
      <c r="B799" s="2210"/>
      <c r="D799" s="2197" t="s">
        <v>3303</v>
      </c>
      <c r="E799" s="2211" t="s">
        <v>3146</v>
      </c>
      <c r="F799" s="2212" t="s">
        <v>133</v>
      </c>
      <c r="H799" s="2213">
        <v>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133</v>
      </c>
      <c r="H800" s="2213">
        <v>1</v>
      </c>
      <c r="L800" s="2210"/>
      <c r="M800" s="2214"/>
      <c r="T800" s="2215"/>
      <c r="AT800" s="2211" t="s">
        <v>3303</v>
      </c>
      <c r="AU800" s="2211" t="s">
        <v>134</v>
      </c>
      <c r="AV800" s="2209" t="s">
        <v>134</v>
      </c>
      <c r="AW800" s="2209" t="s">
        <v>3171</v>
      </c>
      <c r="AX800" s="2209" t="s">
        <v>3213</v>
      </c>
      <c r="AY800" s="2211" t="s">
        <v>3285</v>
      </c>
    </row>
    <row r="801" spans="2:65" s="2216" customFormat="1">
      <c r="B801" s="2217"/>
      <c r="D801" s="2197" t="s">
        <v>3303</v>
      </c>
      <c r="E801" s="2218" t="s">
        <v>3146</v>
      </c>
      <c r="F801" s="2219" t="s">
        <v>3306</v>
      </c>
      <c r="H801" s="2220">
        <v>9</v>
      </c>
      <c r="L801" s="2217"/>
      <c r="M801" s="2221"/>
      <c r="T801" s="2222"/>
      <c r="AT801" s="2218" t="s">
        <v>3303</v>
      </c>
      <c r="AU801" s="2218" t="s">
        <v>134</v>
      </c>
      <c r="AV801" s="2216" t="s">
        <v>856</v>
      </c>
      <c r="AW801" s="2216" t="s">
        <v>3171</v>
      </c>
      <c r="AX801" s="2216" t="s">
        <v>133</v>
      </c>
      <c r="AY801" s="2218" t="s">
        <v>3285</v>
      </c>
    </row>
    <row r="802" spans="2:65" s="2070" customFormat="1" ht="24.2" customHeight="1">
      <c r="B802" s="2164"/>
      <c r="C802" s="5561" t="s">
        <v>4033</v>
      </c>
      <c r="D802" s="4608" t="s">
        <v>3286</v>
      </c>
      <c r="E802" s="4609" t="s">
        <v>11247</v>
      </c>
      <c r="F802" s="4610" t="s">
        <v>11248</v>
      </c>
      <c r="G802" s="4611" t="s">
        <v>155</v>
      </c>
      <c r="H802" s="4612">
        <v>7</v>
      </c>
      <c r="I802" s="5876" t="s">
        <v>11555</v>
      </c>
      <c r="J802" s="5877"/>
      <c r="K802" s="4610" t="s">
        <v>142</v>
      </c>
      <c r="L802" s="2071"/>
      <c r="M802" s="2190" t="s">
        <v>3146</v>
      </c>
      <c r="N802" s="2163" t="s">
        <v>3181</v>
      </c>
      <c r="O802" s="2191">
        <v>1.915</v>
      </c>
      <c r="P802" s="2191">
        <f>O802*H802</f>
        <v>13.405000000000001</v>
      </c>
      <c r="Q802" s="2191">
        <v>0</v>
      </c>
      <c r="R802" s="2191">
        <f>Q802*H802</f>
        <v>0</v>
      </c>
      <c r="S802" s="2191">
        <v>0</v>
      </c>
      <c r="T802" s="2192">
        <f>S802*H802</f>
        <v>0</v>
      </c>
      <c r="AR802" s="2193" t="s">
        <v>2894</v>
      </c>
      <c r="AT802" s="2193" t="s">
        <v>3286</v>
      </c>
      <c r="AU802" s="2193" t="s">
        <v>134</v>
      </c>
      <c r="AY802" s="2056" t="s">
        <v>3285</v>
      </c>
      <c r="BE802" s="2194">
        <f>IF(N802="základní",J802,0)</f>
        <v>0</v>
      </c>
      <c r="BF802" s="2194">
        <f>IF(N802="snížená",J802,0)</f>
        <v>0</v>
      </c>
      <c r="BG802" s="2194">
        <f>IF(N802="zákl. přenesená",J802,0)</f>
        <v>0</v>
      </c>
      <c r="BH802" s="2194">
        <f>IF(N802="sníž. přenesená",J802,0)</f>
        <v>0</v>
      </c>
      <c r="BI802" s="2194">
        <f>IF(N802="nulová",J802,0)</f>
        <v>0</v>
      </c>
      <c r="BJ802" s="2056" t="s">
        <v>134</v>
      </c>
      <c r="BK802" s="2194">
        <v>0</v>
      </c>
      <c r="BL802" s="2056" t="s">
        <v>2894</v>
      </c>
      <c r="BM802" s="2193" t="s">
        <v>11249</v>
      </c>
    </row>
    <row r="803" spans="2:65" s="2209" customFormat="1">
      <c r="B803" s="2210"/>
      <c r="D803" s="2197" t="s">
        <v>3303</v>
      </c>
      <c r="E803" s="2211" t="s">
        <v>3146</v>
      </c>
      <c r="F803" s="2212" t="s">
        <v>11250</v>
      </c>
      <c r="H803" s="2213">
        <v>7</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09" customFormat="1">
      <c r="B805" s="2210"/>
      <c r="D805" s="2197" t="s">
        <v>3303</v>
      </c>
      <c r="E805" s="2211" t="s">
        <v>3146</v>
      </c>
      <c r="F805" s="2212" t="s">
        <v>3213</v>
      </c>
      <c r="H805" s="2213">
        <v>0</v>
      </c>
      <c r="L805" s="2210"/>
      <c r="M805" s="2214"/>
      <c r="T805" s="2215"/>
      <c r="AT805" s="2211" t="s">
        <v>3303</v>
      </c>
      <c r="AU805" s="2211" t="s">
        <v>134</v>
      </c>
      <c r="AV805" s="2209" t="s">
        <v>134</v>
      </c>
      <c r="AW805" s="2209" t="s">
        <v>3171</v>
      </c>
      <c r="AX805" s="2209" t="s">
        <v>3213</v>
      </c>
      <c r="AY805" s="2211" t="s">
        <v>3285</v>
      </c>
    </row>
    <row r="806" spans="2:65" s="2209" customFormat="1">
      <c r="B806" s="2210"/>
      <c r="D806" s="2197" t="s">
        <v>3303</v>
      </c>
      <c r="E806" s="2211" t="s">
        <v>3146</v>
      </c>
      <c r="F806" s="2212" t="s">
        <v>3213</v>
      </c>
      <c r="H806" s="2213">
        <v>0</v>
      </c>
      <c r="L806" s="2210"/>
      <c r="M806" s="2214"/>
      <c r="T806" s="2215"/>
      <c r="AT806" s="2211" t="s">
        <v>3303</v>
      </c>
      <c r="AU806" s="2211" t="s">
        <v>134</v>
      </c>
      <c r="AV806" s="2209" t="s">
        <v>134</v>
      </c>
      <c r="AW806" s="2209" t="s">
        <v>3171</v>
      </c>
      <c r="AX806" s="2209" t="s">
        <v>3213</v>
      </c>
      <c r="AY806" s="2211" t="s">
        <v>3285</v>
      </c>
    </row>
    <row r="807" spans="2:65" s="2216" customFormat="1">
      <c r="B807" s="2217"/>
      <c r="D807" s="2197" t="s">
        <v>3303</v>
      </c>
      <c r="E807" s="2218" t="s">
        <v>3146</v>
      </c>
      <c r="F807" s="2219" t="s">
        <v>3306</v>
      </c>
      <c r="H807" s="2220">
        <v>7</v>
      </c>
      <c r="L807" s="2217"/>
      <c r="M807" s="2221"/>
      <c r="T807" s="2222"/>
      <c r="AT807" s="2218" t="s">
        <v>3303</v>
      </c>
      <c r="AU807" s="2218" t="s">
        <v>134</v>
      </c>
      <c r="AV807" s="2216" t="s">
        <v>856</v>
      </c>
      <c r="AW807" s="2216" t="s">
        <v>3171</v>
      </c>
      <c r="AX807" s="2216" t="s">
        <v>133</v>
      </c>
      <c r="AY807" s="2218" t="s">
        <v>3285</v>
      </c>
    </row>
    <row r="808" spans="2:65" s="2070" customFormat="1" ht="24.2" customHeight="1">
      <c r="B808" s="2164"/>
      <c r="C808" s="5609" t="s">
        <v>4034</v>
      </c>
      <c r="D808" s="4614" t="s">
        <v>135</v>
      </c>
      <c r="E808" s="4615" t="s">
        <v>11251</v>
      </c>
      <c r="F808" s="4616" t="s">
        <v>11252</v>
      </c>
      <c r="G808" s="4617" t="s">
        <v>155</v>
      </c>
      <c r="H808" s="4618">
        <v>7</v>
      </c>
      <c r="I808" s="5876" t="s">
        <v>11555</v>
      </c>
      <c r="J808" s="5877"/>
      <c r="K808" s="4616" t="s">
        <v>142</v>
      </c>
      <c r="L808" s="2223"/>
      <c r="M808" s="2224" t="s">
        <v>3146</v>
      </c>
      <c r="N808" s="2225" t="s">
        <v>3181</v>
      </c>
      <c r="O808" s="2191">
        <v>0</v>
      </c>
      <c r="P808" s="2191">
        <f>O808*H808</f>
        <v>0</v>
      </c>
      <c r="Q808" s="2191">
        <v>2.5999999999999999E-2</v>
      </c>
      <c r="R808" s="2191">
        <f>Q808*H808</f>
        <v>0.182</v>
      </c>
      <c r="S808" s="2191">
        <v>0</v>
      </c>
      <c r="T808" s="2192">
        <f>S808*H808</f>
        <v>0</v>
      </c>
      <c r="AR808" s="2193" t="s">
        <v>3389</v>
      </c>
      <c r="AT808" s="2193" t="s">
        <v>135</v>
      </c>
      <c r="AU808" s="2193" t="s">
        <v>134</v>
      </c>
      <c r="AY808" s="2056" t="s">
        <v>3285</v>
      </c>
      <c r="BE808" s="2194">
        <f>IF(N808="základní",J808,0)</f>
        <v>0</v>
      </c>
      <c r="BF808" s="2194">
        <f>IF(N808="snížená",J808,0)</f>
        <v>0</v>
      </c>
      <c r="BG808" s="2194">
        <f>IF(N808="zákl. přenesená",J808,0)</f>
        <v>0</v>
      </c>
      <c r="BH808" s="2194">
        <f>IF(N808="sníž. přenesená",J808,0)</f>
        <v>0</v>
      </c>
      <c r="BI808" s="2194">
        <f>IF(N808="nulová",J808,0)</f>
        <v>0</v>
      </c>
      <c r="BJ808" s="2056" t="s">
        <v>134</v>
      </c>
      <c r="BK808" s="2194">
        <v>0</v>
      </c>
      <c r="BL808" s="2056" t="s">
        <v>2894</v>
      </c>
      <c r="BM808" s="2193" t="s">
        <v>11253</v>
      </c>
    </row>
    <row r="809" spans="2:65" s="2070" customFormat="1" ht="24.2" customHeight="1">
      <c r="B809" s="2164"/>
      <c r="C809" s="5561" t="s">
        <v>4035</v>
      </c>
      <c r="D809" s="4608" t="s">
        <v>3286</v>
      </c>
      <c r="E809" s="4609" t="s">
        <v>11254</v>
      </c>
      <c r="F809" s="4610" t="s">
        <v>11255</v>
      </c>
      <c r="G809" s="4611" t="s">
        <v>155</v>
      </c>
      <c r="H809" s="4612">
        <v>1</v>
      </c>
      <c r="I809" s="5876" t="s">
        <v>11555</v>
      </c>
      <c r="J809" s="5877"/>
      <c r="K809" s="4610" t="s">
        <v>142</v>
      </c>
      <c r="L809" s="2071"/>
      <c r="M809" s="2190" t="s">
        <v>3146</v>
      </c>
      <c r="N809" s="2163" t="s">
        <v>3181</v>
      </c>
      <c r="O809" s="2191">
        <v>2.04</v>
      </c>
      <c r="P809" s="2191">
        <f>O809*H809</f>
        <v>2.04</v>
      </c>
      <c r="Q809" s="2191">
        <v>0</v>
      </c>
      <c r="R809" s="2191">
        <f>Q809*H809</f>
        <v>0</v>
      </c>
      <c r="S809" s="2191">
        <v>0</v>
      </c>
      <c r="T809" s="2192">
        <f>S809*H809</f>
        <v>0</v>
      </c>
      <c r="AR809" s="2193" t="s">
        <v>2894</v>
      </c>
      <c r="AT809" s="2193" t="s">
        <v>3286</v>
      </c>
      <c r="AU809" s="2193" t="s">
        <v>134</v>
      </c>
      <c r="AY809" s="2056" t="s">
        <v>3285</v>
      </c>
      <c r="BE809" s="2194">
        <f>IF(N809="základní",J809,0)</f>
        <v>0</v>
      </c>
      <c r="BF809" s="2194">
        <f>IF(N809="snížená",J809,0)</f>
        <v>0</v>
      </c>
      <c r="BG809" s="2194">
        <f>IF(N809="zákl. přenesená",J809,0)</f>
        <v>0</v>
      </c>
      <c r="BH809" s="2194">
        <f>IF(N809="sníž. přenesená",J809,0)</f>
        <v>0</v>
      </c>
      <c r="BI809" s="2194">
        <f>IF(N809="nulová",J809,0)</f>
        <v>0</v>
      </c>
      <c r="BJ809" s="2056" t="s">
        <v>134</v>
      </c>
      <c r="BK809" s="2194">
        <v>0</v>
      </c>
      <c r="BL809" s="2056" t="s">
        <v>2894</v>
      </c>
      <c r="BM809" s="2193" t="s">
        <v>11256</v>
      </c>
    </row>
    <row r="810" spans="2:65" s="2209" customFormat="1">
      <c r="B810" s="2210"/>
      <c r="D810" s="2197" t="s">
        <v>3303</v>
      </c>
      <c r="E810" s="2211" t="s">
        <v>3146</v>
      </c>
      <c r="F810" s="2212" t="s">
        <v>133</v>
      </c>
      <c r="H810" s="2213">
        <v>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v>
      </c>
      <c r="L811" s="2217"/>
      <c r="M811" s="2221"/>
      <c r="T811" s="2222"/>
      <c r="AT811" s="2218" t="s">
        <v>3303</v>
      </c>
      <c r="AU811" s="2218" t="s">
        <v>134</v>
      </c>
      <c r="AV811" s="2216" t="s">
        <v>856</v>
      </c>
      <c r="AW811" s="2216" t="s">
        <v>3171</v>
      </c>
      <c r="AX811" s="2216" t="s">
        <v>133</v>
      </c>
      <c r="AY811" s="2218" t="s">
        <v>3285</v>
      </c>
    </row>
    <row r="812" spans="2:65" s="2070" customFormat="1" ht="24.2" customHeight="1">
      <c r="B812" s="2164"/>
      <c r="C812" s="5609" t="s">
        <v>4038</v>
      </c>
      <c r="D812" s="4614" t="s">
        <v>135</v>
      </c>
      <c r="E812" s="4615" t="s">
        <v>11257</v>
      </c>
      <c r="F812" s="4616" t="s">
        <v>11258</v>
      </c>
      <c r="G812" s="4617" t="s">
        <v>155</v>
      </c>
      <c r="H812" s="4618">
        <v>1</v>
      </c>
      <c r="I812" s="5876" t="s">
        <v>11555</v>
      </c>
      <c r="J812" s="5877"/>
      <c r="K812" s="4616" t="s">
        <v>142</v>
      </c>
      <c r="L812" s="2223"/>
      <c r="M812" s="2224" t="s">
        <v>3146</v>
      </c>
      <c r="N812" s="2225" t="s">
        <v>3181</v>
      </c>
      <c r="O812" s="2191">
        <v>0</v>
      </c>
      <c r="P812" s="2191">
        <f>O812*H812</f>
        <v>0</v>
      </c>
      <c r="Q812" s="2191">
        <v>3.2000000000000001E-2</v>
      </c>
      <c r="R812" s="2191">
        <f>Q812*H812</f>
        <v>3.2000000000000001E-2</v>
      </c>
      <c r="S812" s="2191">
        <v>0</v>
      </c>
      <c r="T812" s="2192">
        <f>S812*H812</f>
        <v>0</v>
      </c>
      <c r="AR812" s="2193" t="s">
        <v>3389</v>
      </c>
      <c r="AT812" s="2193" t="s">
        <v>135</v>
      </c>
      <c r="AU812" s="2193" t="s">
        <v>134</v>
      </c>
      <c r="AY812" s="2056" t="s">
        <v>3285</v>
      </c>
      <c r="BE812" s="2194">
        <f>IF(N812="základní",J812,0)</f>
        <v>0</v>
      </c>
      <c r="BF812" s="2194">
        <f>IF(N812="snížená",J812,0)</f>
        <v>0</v>
      </c>
      <c r="BG812" s="2194">
        <f>IF(N812="zákl. přenesená",J812,0)</f>
        <v>0</v>
      </c>
      <c r="BH812" s="2194">
        <f>IF(N812="sníž. přenesená",J812,0)</f>
        <v>0</v>
      </c>
      <c r="BI812" s="2194">
        <f>IF(N812="nulová",J812,0)</f>
        <v>0</v>
      </c>
      <c r="BJ812" s="2056" t="s">
        <v>134</v>
      </c>
      <c r="BK812" s="2194">
        <v>0</v>
      </c>
      <c r="BL812" s="2056" t="s">
        <v>2894</v>
      </c>
      <c r="BM812" s="2193" t="s">
        <v>11259</v>
      </c>
    </row>
    <row r="813" spans="2:65" s="2070" customFormat="1" ht="24.2" customHeight="1">
      <c r="B813" s="2164"/>
      <c r="C813" s="5561" t="s">
        <v>4043</v>
      </c>
      <c r="D813" s="4608" t="s">
        <v>3286</v>
      </c>
      <c r="E813" s="4609" t="s">
        <v>11260</v>
      </c>
      <c r="F813" s="4610" t="s">
        <v>11261</v>
      </c>
      <c r="G813" s="4611" t="s">
        <v>155</v>
      </c>
      <c r="H813" s="4612">
        <v>12</v>
      </c>
      <c r="I813" s="5876" t="s">
        <v>11555</v>
      </c>
      <c r="J813" s="5877"/>
      <c r="K813" s="4610" t="s">
        <v>142</v>
      </c>
      <c r="L813" s="2071"/>
      <c r="M813" s="2190" t="s">
        <v>3146</v>
      </c>
      <c r="N813" s="2163" t="s">
        <v>3181</v>
      </c>
      <c r="O813" s="2191">
        <v>2.859</v>
      </c>
      <c r="P813" s="2191">
        <f>O813*H813</f>
        <v>34.308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v>0</v>
      </c>
      <c r="BL813" s="2056" t="s">
        <v>2894</v>
      </c>
      <c r="BM813" s="2193" t="s">
        <v>11262</v>
      </c>
    </row>
    <row r="814" spans="2:65" s="2209" customFormat="1">
      <c r="B814" s="2210"/>
      <c r="D814" s="2197" t="s">
        <v>3303</v>
      </c>
      <c r="E814" s="2211" t="s">
        <v>3146</v>
      </c>
      <c r="F814" s="2212" t="s">
        <v>133</v>
      </c>
      <c r="H814" s="2213">
        <v>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11263</v>
      </c>
      <c r="H815" s="2213">
        <v>3</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11263</v>
      </c>
      <c r="H816" s="2213">
        <v>3</v>
      </c>
      <c r="L816" s="2210"/>
      <c r="M816" s="2214"/>
      <c r="T816" s="2215"/>
      <c r="AT816" s="2211" t="s">
        <v>3303</v>
      </c>
      <c r="AU816" s="2211" t="s">
        <v>134</v>
      </c>
      <c r="AV816" s="2209" t="s">
        <v>134</v>
      </c>
      <c r="AW816" s="2209" t="s">
        <v>3171</v>
      </c>
      <c r="AX816" s="2209" t="s">
        <v>3213</v>
      </c>
      <c r="AY816" s="2211" t="s">
        <v>3285</v>
      </c>
    </row>
    <row r="817" spans="2:65" s="2209" customFormat="1">
      <c r="B817" s="2210"/>
      <c r="D817" s="2197" t="s">
        <v>3303</v>
      </c>
      <c r="E817" s="2211" t="s">
        <v>3146</v>
      </c>
      <c r="F817" s="2212" t="s">
        <v>133</v>
      </c>
      <c r="H817" s="2213">
        <v>1</v>
      </c>
      <c r="L817" s="2210"/>
      <c r="M817" s="2214"/>
      <c r="T817" s="2215"/>
      <c r="AT817" s="2211" t="s">
        <v>3303</v>
      </c>
      <c r="AU817" s="2211" t="s">
        <v>134</v>
      </c>
      <c r="AV817" s="2209" t="s">
        <v>134</v>
      </c>
      <c r="AW817" s="2209" t="s">
        <v>3171</v>
      </c>
      <c r="AX817" s="2209" t="s">
        <v>3213</v>
      </c>
      <c r="AY817" s="2211" t="s">
        <v>3285</v>
      </c>
    </row>
    <row r="818" spans="2:65" s="2209" customFormat="1">
      <c r="B818" s="2210"/>
      <c r="D818" s="2197" t="s">
        <v>3303</v>
      </c>
      <c r="E818" s="2211" t="s">
        <v>3146</v>
      </c>
      <c r="F818" s="2212" t="s">
        <v>4811</v>
      </c>
      <c r="H818" s="2213">
        <v>4</v>
      </c>
      <c r="L818" s="2210"/>
      <c r="M818" s="2214"/>
      <c r="T818" s="2215"/>
      <c r="AT818" s="2211" t="s">
        <v>3303</v>
      </c>
      <c r="AU818" s="2211" t="s">
        <v>134</v>
      </c>
      <c r="AV818" s="2209" t="s">
        <v>134</v>
      </c>
      <c r="AW818" s="2209" t="s">
        <v>3171</v>
      </c>
      <c r="AX818" s="2209" t="s">
        <v>3213</v>
      </c>
      <c r="AY818" s="2211" t="s">
        <v>3285</v>
      </c>
    </row>
    <row r="819" spans="2:65" s="2216" customFormat="1">
      <c r="B819" s="2217"/>
      <c r="D819" s="2197" t="s">
        <v>3303</v>
      </c>
      <c r="E819" s="2218" t="s">
        <v>3146</v>
      </c>
      <c r="F819" s="2219" t="s">
        <v>3306</v>
      </c>
      <c r="H819" s="2220">
        <v>12</v>
      </c>
      <c r="L819" s="2217"/>
      <c r="M819" s="2221"/>
      <c r="T819" s="2222"/>
      <c r="AT819" s="2218" t="s">
        <v>3303</v>
      </c>
      <c r="AU819" s="2218" t="s">
        <v>134</v>
      </c>
      <c r="AV819" s="2216" t="s">
        <v>856</v>
      </c>
      <c r="AW819" s="2216" t="s">
        <v>3171</v>
      </c>
      <c r="AX819" s="2216" t="s">
        <v>133</v>
      </c>
      <c r="AY819" s="2218" t="s">
        <v>3285</v>
      </c>
    </row>
    <row r="820" spans="2:65" s="2070" customFormat="1" ht="33" customHeight="1">
      <c r="B820" s="2164"/>
      <c r="C820" s="5609" t="s">
        <v>4051</v>
      </c>
      <c r="D820" s="4614" t="s">
        <v>135</v>
      </c>
      <c r="E820" s="4615" t="s">
        <v>11264</v>
      </c>
      <c r="F820" s="4616" t="s">
        <v>11265</v>
      </c>
      <c r="G820" s="4617" t="s">
        <v>155</v>
      </c>
      <c r="H820" s="4618">
        <v>12</v>
      </c>
      <c r="I820" s="5876" t="s">
        <v>11555</v>
      </c>
      <c r="J820" s="5877"/>
      <c r="K820" s="4616" t="s">
        <v>142</v>
      </c>
      <c r="L820" s="2223"/>
      <c r="M820" s="2224" t="s">
        <v>3146</v>
      </c>
      <c r="N820" s="2225" t="s">
        <v>3181</v>
      </c>
      <c r="O820" s="2191">
        <v>0</v>
      </c>
      <c r="P820" s="2191">
        <f>O820*H820</f>
        <v>0</v>
      </c>
      <c r="Q820" s="2191">
        <v>1.95E-2</v>
      </c>
      <c r="R820" s="2191">
        <f>Q820*H820</f>
        <v>0.23399999999999999</v>
      </c>
      <c r="S820" s="2191">
        <v>0</v>
      </c>
      <c r="T820" s="2192">
        <f>S820*H820</f>
        <v>0</v>
      </c>
      <c r="AR820" s="2193" t="s">
        <v>3389</v>
      </c>
      <c r="AT820" s="2193" t="s">
        <v>135</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v>0</v>
      </c>
      <c r="BL820" s="2056" t="s">
        <v>2894</v>
      </c>
      <c r="BM820" s="2193" t="s">
        <v>11266</v>
      </c>
    </row>
    <row r="821" spans="2:65" s="2070" customFormat="1" ht="24.2" customHeight="1">
      <c r="B821" s="2164"/>
      <c r="C821" s="5561" t="s">
        <v>4058</v>
      </c>
      <c r="D821" s="4608" t="s">
        <v>3286</v>
      </c>
      <c r="E821" s="4609" t="s">
        <v>11267</v>
      </c>
      <c r="F821" s="4610" t="s">
        <v>11268</v>
      </c>
      <c r="G821" s="4611" t="s">
        <v>155</v>
      </c>
      <c r="H821" s="4612">
        <v>51</v>
      </c>
      <c r="I821" s="5876" t="s">
        <v>11555</v>
      </c>
      <c r="J821" s="5877"/>
      <c r="K821" s="4610" t="s">
        <v>142</v>
      </c>
      <c r="L821" s="2071"/>
      <c r="M821" s="2190" t="s">
        <v>3146</v>
      </c>
      <c r="N821" s="2163" t="s">
        <v>3181</v>
      </c>
      <c r="O821" s="2191">
        <v>3.3039999999999998</v>
      </c>
      <c r="P821" s="2191">
        <f>O821*H821</f>
        <v>168.50399999999999</v>
      </c>
      <c r="Q821" s="2191">
        <v>0</v>
      </c>
      <c r="R821" s="2191">
        <f>Q821*H821</f>
        <v>0</v>
      </c>
      <c r="S821" s="2191">
        <v>0</v>
      </c>
      <c r="T821" s="2192">
        <f>S821*H821</f>
        <v>0</v>
      </c>
      <c r="AR821" s="2193" t="s">
        <v>2894</v>
      </c>
      <c r="AT821" s="2193" t="s">
        <v>3286</v>
      </c>
      <c r="AU821" s="2193" t="s">
        <v>134</v>
      </c>
      <c r="AY821" s="2056" t="s">
        <v>3285</v>
      </c>
      <c r="BE821" s="2194">
        <f>IF(N821="základní",J821,0)</f>
        <v>0</v>
      </c>
      <c r="BF821" s="2194">
        <f>IF(N821="snížená",J821,0)</f>
        <v>0</v>
      </c>
      <c r="BG821" s="2194">
        <f>IF(N821="zákl. přenesená",J821,0)</f>
        <v>0</v>
      </c>
      <c r="BH821" s="2194">
        <f>IF(N821="sníž. přenesená",J821,0)</f>
        <v>0</v>
      </c>
      <c r="BI821" s="2194">
        <f>IF(N821="nulová",J821,0)</f>
        <v>0</v>
      </c>
      <c r="BJ821" s="2056" t="s">
        <v>134</v>
      </c>
      <c r="BK821" s="2194">
        <v>0</v>
      </c>
      <c r="BL821" s="2056" t="s">
        <v>2894</v>
      </c>
      <c r="BM821" s="2193" t="s">
        <v>11269</v>
      </c>
    </row>
    <row r="822" spans="2:65" s="2209" customFormat="1">
      <c r="B822" s="2210"/>
      <c r="D822" s="2197" t="s">
        <v>3303</v>
      </c>
      <c r="E822" s="2211" t="s">
        <v>3146</v>
      </c>
      <c r="F822" s="2212" t="s">
        <v>133</v>
      </c>
      <c r="H822" s="2213">
        <v>1</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11270</v>
      </c>
      <c r="H823" s="2213">
        <v>12</v>
      </c>
      <c r="L823" s="2210"/>
      <c r="M823" s="2214"/>
      <c r="T823" s="2215"/>
      <c r="AT823" s="2211" t="s">
        <v>3303</v>
      </c>
      <c r="AU823" s="2211" t="s">
        <v>134</v>
      </c>
      <c r="AV823" s="2209" t="s">
        <v>134</v>
      </c>
      <c r="AW823" s="2209" t="s">
        <v>3171</v>
      </c>
      <c r="AX823" s="2209" t="s">
        <v>3213</v>
      </c>
      <c r="AY823" s="2211" t="s">
        <v>3285</v>
      </c>
    </row>
    <row r="824" spans="2:65" s="2209" customFormat="1">
      <c r="B824" s="2210"/>
      <c r="D824" s="2197" t="s">
        <v>3303</v>
      </c>
      <c r="E824" s="2211" t="s">
        <v>3146</v>
      </c>
      <c r="F824" s="2212" t="s">
        <v>11271</v>
      </c>
      <c r="H824" s="2213">
        <v>19</v>
      </c>
      <c r="L824" s="2210"/>
      <c r="M824" s="2214"/>
      <c r="T824" s="2215"/>
      <c r="AT824" s="2211" t="s">
        <v>3303</v>
      </c>
      <c r="AU824" s="2211" t="s">
        <v>134</v>
      </c>
      <c r="AV824" s="2209" t="s">
        <v>134</v>
      </c>
      <c r="AW824" s="2209" t="s">
        <v>3171</v>
      </c>
      <c r="AX824" s="2209" t="s">
        <v>3213</v>
      </c>
      <c r="AY824" s="2211" t="s">
        <v>3285</v>
      </c>
    </row>
    <row r="825" spans="2:65" s="2209" customFormat="1">
      <c r="B825" s="2210"/>
      <c r="D825" s="2197" t="s">
        <v>3303</v>
      </c>
      <c r="E825" s="2211" t="s">
        <v>3146</v>
      </c>
      <c r="F825" s="2212" t="s">
        <v>11272</v>
      </c>
      <c r="H825" s="2213">
        <v>19</v>
      </c>
      <c r="L825" s="2210"/>
      <c r="M825" s="2214"/>
      <c r="T825" s="2215"/>
      <c r="AT825" s="2211" t="s">
        <v>3303</v>
      </c>
      <c r="AU825" s="2211" t="s">
        <v>134</v>
      </c>
      <c r="AV825" s="2209" t="s">
        <v>134</v>
      </c>
      <c r="AW825" s="2209" t="s">
        <v>3171</v>
      </c>
      <c r="AX825" s="2209" t="s">
        <v>3213</v>
      </c>
      <c r="AY825" s="2211" t="s">
        <v>3285</v>
      </c>
    </row>
    <row r="826" spans="2:65" s="2216" customFormat="1">
      <c r="B826" s="2217"/>
      <c r="D826" s="2197" t="s">
        <v>3303</v>
      </c>
      <c r="E826" s="2218" t="s">
        <v>3146</v>
      </c>
      <c r="F826" s="2219" t="s">
        <v>3306</v>
      </c>
      <c r="H826" s="2220">
        <v>51</v>
      </c>
      <c r="L826" s="2217"/>
      <c r="M826" s="2221"/>
      <c r="T826" s="2222"/>
      <c r="AT826" s="2218" t="s">
        <v>3303</v>
      </c>
      <c r="AU826" s="2218" t="s">
        <v>134</v>
      </c>
      <c r="AV826" s="2216" t="s">
        <v>856</v>
      </c>
      <c r="AW826" s="2216" t="s">
        <v>3171</v>
      </c>
      <c r="AX826" s="2216" t="s">
        <v>133</v>
      </c>
      <c r="AY826" s="2218" t="s">
        <v>3285</v>
      </c>
    </row>
    <row r="827" spans="2:65" s="2070" customFormat="1" ht="33" customHeight="1">
      <c r="B827" s="2164"/>
      <c r="C827" s="5609" t="s">
        <v>4062</v>
      </c>
      <c r="D827" s="4614" t="s">
        <v>135</v>
      </c>
      <c r="E827" s="4615" t="s">
        <v>11273</v>
      </c>
      <c r="F827" s="4616" t="s">
        <v>11274</v>
      </c>
      <c r="G827" s="4617" t="s">
        <v>155</v>
      </c>
      <c r="H827" s="4618">
        <v>51</v>
      </c>
      <c r="I827" s="5876" t="s">
        <v>11555</v>
      </c>
      <c r="J827" s="5877"/>
      <c r="K827" s="4616" t="s">
        <v>142</v>
      </c>
      <c r="L827" s="2223"/>
      <c r="M827" s="2224" t="s">
        <v>3146</v>
      </c>
      <c r="N827" s="2225" t="s">
        <v>3181</v>
      </c>
      <c r="O827" s="2191">
        <v>0</v>
      </c>
      <c r="P827" s="2191">
        <f>O827*H827</f>
        <v>0</v>
      </c>
      <c r="Q827" s="2191">
        <v>2.2499999999999999E-2</v>
      </c>
      <c r="R827" s="2191">
        <f>Q827*H827</f>
        <v>1.1475</v>
      </c>
      <c r="S827" s="2191">
        <v>0</v>
      </c>
      <c r="T827" s="2192">
        <f>S827*H827</f>
        <v>0</v>
      </c>
      <c r="AR827" s="2193" t="s">
        <v>3389</v>
      </c>
      <c r="AT827" s="2193" t="s">
        <v>135</v>
      </c>
      <c r="AU827" s="2193" t="s">
        <v>134</v>
      </c>
      <c r="AY827" s="2056" t="s">
        <v>3285</v>
      </c>
      <c r="BE827" s="2194">
        <f>IF(N827="základní",J827,0)</f>
        <v>0</v>
      </c>
      <c r="BF827" s="2194">
        <f>IF(N827="snížená",J827,0)</f>
        <v>0</v>
      </c>
      <c r="BG827" s="2194">
        <f>IF(N827="zákl. přenesená",J827,0)</f>
        <v>0</v>
      </c>
      <c r="BH827" s="2194">
        <f>IF(N827="sníž. přenesená",J827,0)</f>
        <v>0</v>
      </c>
      <c r="BI827" s="2194">
        <f>IF(N827="nulová",J827,0)</f>
        <v>0</v>
      </c>
      <c r="BJ827" s="2056" t="s">
        <v>134</v>
      </c>
      <c r="BK827" s="2194">
        <v>0</v>
      </c>
      <c r="BL827" s="2056" t="s">
        <v>2894</v>
      </c>
      <c r="BM827" s="2193" t="s">
        <v>11275</v>
      </c>
    </row>
    <row r="828" spans="2:65" s="2070" customFormat="1" ht="24.2" customHeight="1">
      <c r="B828" s="2164"/>
      <c r="C828" s="5561" t="s">
        <v>4066</v>
      </c>
      <c r="D828" s="4608" t="s">
        <v>3286</v>
      </c>
      <c r="E828" s="4609" t="s">
        <v>11276</v>
      </c>
      <c r="F828" s="4610" t="s">
        <v>11277</v>
      </c>
      <c r="G828" s="4611" t="s">
        <v>155</v>
      </c>
      <c r="H828" s="4612">
        <v>2</v>
      </c>
      <c r="I828" s="5876" t="s">
        <v>11555</v>
      </c>
      <c r="J828" s="5877"/>
      <c r="K828" s="4610" t="s">
        <v>142</v>
      </c>
      <c r="L828" s="2071"/>
      <c r="M828" s="2190" t="s">
        <v>3146</v>
      </c>
      <c r="N828" s="2163" t="s">
        <v>3181</v>
      </c>
      <c r="O828" s="2191">
        <v>3.5270000000000001</v>
      </c>
      <c r="P828" s="2191">
        <f>O828*H828</f>
        <v>7.0540000000000003</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v>0</v>
      </c>
      <c r="BL828" s="2056" t="s">
        <v>2894</v>
      </c>
      <c r="BM828" s="2193" t="s">
        <v>11278</v>
      </c>
    </row>
    <row r="829" spans="2:65" s="2209" customFormat="1">
      <c r="B829" s="2210"/>
      <c r="D829" s="2197" t="s">
        <v>3303</v>
      </c>
      <c r="E829" s="2211" t="s">
        <v>3146</v>
      </c>
      <c r="F829" s="2212" t="s">
        <v>134</v>
      </c>
      <c r="H829" s="2213">
        <v>2</v>
      </c>
      <c r="L829" s="2210"/>
      <c r="M829" s="2214"/>
      <c r="T829" s="2215"/>
      <c r="AT829" s="2211" t="s">
        <v>3303</v>
      </c>
      <c r="AU829" s="2211" t="s">
        <v>134</v>
      </c>
      <c r="AV829" s="2209" t="s">
        <v>134</v>
      </c>
      <c r="AW829" s="2209" t="s">
        <v>3171</v>
      </c>
      <c r="AX829" s="2209" t="s">
        <v>3213</v>
      </c>
      <c r="AY829" s="2211" t="s">
        <v>3285</v>
      </c>
    </row>
    <row r="830" spans="2:65" s="2216" customFormat="1">
      <c r="B830" s="2217"/>
      <c r="D830" s="2197" t="s">
        <v>3303</v>
      </c>
      <c r="E830" s="2218" t="s">
        <v>3146</v>
      </c>
      <c r="F830" s="2219" t="s">
        <v>3306</v>
      </c>
      <c r="H830" s="2220">
        <v>2</v>
      </c>
      <c r="L830" s="2217"/>
      <c r="M830" s="2221"/>
      <c r="T830" s="2222"/>
      <c r="AT830" s="2218" t="s">
        <v>3303</v>
      </c>
      <c r="AU830" s="2218" t="s">
        <v>134</v>
      </c>
      <c r="AV830" s="2216" t="s">
        <v>856</v>
      </c>
      <c r="AW830" s="2216" t="s">
        <v>3171</v>
      </c>
      <c r="AX830" s="2216" t="s">
        <v>133</v>
      </c>
      <c r="AY830" s="2218" t="s">
        <v>3285</v>
      </c>
    </row>
    <row r="831" spans="2:65" s="2070" customFormat="1" ht="33" customHeight="1">
      <c r="B831" s="2164"/>
      <c r="C831" s="5609" t="s">
        <v>4074</v>
      </c>
      <c r="D831" s="4614" t="s">
        <v>135</v>
      </c>
      <c r="E831" s="4615" t="s">
        <v>11279</v>
      </c>
      <c r="F831" s="4616" t="s">
        <v>11280</v>
      </c>
      <c r="G831" s="4617" t="s">
        <v>155</v>
      </c>
      <c r="H831" s="4618">
        <v>2</v>
      </c>
      <c r="I831" s="5876" t="s">
        <v>11555</v>
      </c>
      <c r="J831" s="5877"/>
      <c r="K831" s="4616" t="s">
        <v>142</v>
      </c>
      <c r="L831" s="2223"/>
      <c r="M831" s="2224" t="s">
        <v>3146</v>
      </c>
      <c r="N831" s="2225" t="s">
        <v>3181</v>
      </c>
      <c r="O831" s="2191">
        <v>0</v>
      </c>
      <c r="P831" s="2191">
        <f>O831*H831</f>
        <v>0</v>
      </c>
      <c r="Q831" s="2191">
        <v>0.04</v>
      </c>
      <c r="R831" s="2191">
        <f>Q831*H831</f>
        <v>0.08</v>
      </c>
      <c r="S831" s="2191">
        <v>0</v>
      </c>
      <c r="T831" s="2192">
        <f>S831*H831</f>
        <v>0</v>
      </c>
      <c r="AR831" s="2193" t="s">
        <v>3389</v>
      </c>
      <c r="AT831" s="2193" t="s">
        <v>135</v>
      </c>
      <c r="AU831" s="2193" t="s">
        <v>134</v>
      </c>
      <c r="AY831" s="2056" t="s">
        <v>3285</v>
      </c>
      <c r="BE831" s="2194">
        <f>IF(N831="základní",J831,0)</f>
        <v>0</v>
      </c>
      <c r="BF831" s="2194">
        <f>IF(N831="snížená",J831,0)</f>
        <v>0</v>
      </c>
      <c r="BG831" s="2194">
        <f>IF(N831="zákl. přenesená",J831,0)</f>
        <v>0</v>
      </c>
      <c r="BH831" s="2194">
        <f>IF(N831="sníž. přenesená",J831,0)</f>
        <v>0</v>
      </c>
      <c r="BI831" s="2194">
        <f>IF(N831="nulová",J831,0)</f>
        <v>0</v>
      </c>
      <c r="BJ831" s="2056" t="s">
        <v>134</v>
      </c>
      <c r="BK831" s="2194">
        <v>0</v>
      </c>
      <c r="BL831" s="2056" t="s">
        <v>2894</v>
      </c>
      <c r="BM831" s="2193" t="s">
        <v>11281</v>
      </c>
    </row>
    <row r="832" spans="2:65" s="2070" customFormat="1" ht="33" customHeight="1">
      <c r="B832" s="2164"/>
      <c r="C832" s="5561" t="s">
        <v>4079</v>
      </c>
      <c r="D832" s="4608" t="s">
        <v>3286</v>
      </c>
      <c r="E832" s="4609" t="s">
        <v>11282</v>
      </c>
      <c r="F832" s="4610" t="s">
        <v>11283</v>
      </c>
      <c r="G832" s="4611" t="s">
        <v>155</v>
      </c>
      <c r="H832" s="4612">
        <v>47</v>
      </c>
      <c r="I832" s="5876" t="s">
        <v>11555</v>
      </c>
      <c r="J832" s="5877"/>
      <c r="K832" s="4610" t="s">
        <v>142</v>
      </c>
      <c r="L832" s="2071"/>
      <c r="M832" s="2190" t="s">
        <v>3146</v>
      </c>
      <c r="N832" s="2163" t="s">
        <v>3181</v>
      </c>
      <c r="O832" s="2191">
        <v>3.1659999999999999</v>
      </c>
      <c r="P832" s="2191">
        <f>O832*H832</f>
        <v>148.80199999999999</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v>0</v>
      </c>
      <c r="BL832" s="2056" t="s">
        <v>2894</v>
      </c>
      <c r="BM832" s="2193" t="s">
        <v>11284</v>
      </c>
    </row>
    <row r="833" spans="2:65" s="2209" customFormat="1">
      <c r="B833" s="2210"/>
      <c r="D833" s="2197" t="s">
        <v>3303</v>
      </c>
      <c r="E833" s="2211" t="s">
        <v>3146</v>
      </c>
      <c r="F833" s="2212" t="s">
        <v>11285</v>
      </c>
      <c r="H833" s="2213">
        <v>19</v>
      </c>
      <c r="L833" s="2210"/>
      <c r="M833" s="2214"/>
      <c r="T833" s="2215"/>
      <c r="AT833" s="2211" t="s">
        <v>3303</v>
      </c>
      <c r="AU833" s="2211" t="s">
        <v>134</v>
      </c>
      <c r="AV833" s="2209" t="s">
        <v>134</v>
      </c>
      <c r="AW833" s="2209" t="s">
        <v>3171</v>
      </c>
      <c r="AX833" s="2209" t="s">
        <v>3213</v>
      </c>
      <c r="AY833" s="2211" t="s">
        <v>3285</v>
      </c>
    </row>
    <row r="834" spans="2:65" s="2209" customFormat="1">
      <c r="B834" s="2210"/>
      <c r="D834" s="2197" t="s">
        <v>3303</v>
      </c>
      <c r="E834" s="2211" t="s">
        <v>3146</v>
      </c>
      <c r="F834" s="2212" t="s">
        <v>11286</v>
      </c>
      <c r="H834" s="2213">
        <v>28</v>
      </c>
      <c r="L834" s="2210"/>
      <c r="M834" s="2214"/>
      <c r="T834" s="2215"/>
      <c r="AT834" s="2211" t="s">
        <v>3303</v>
      </c>
      <c r="AU834" s="2211" t="s">
        <v>134</v>
      </c>
      <c r="AV834" s="2209" t="s">
        <v>134</v>
      </c>
      <c r="AW834" s="2209" t="s">
        <v>3171</v>
      </c>
      <c r="AX834" s="2209" t="s">
        <v>3213</v>
      </c>
      <c r="AY834" s="2211" t="s">
        <v>3285</v>
      </c>
    </row>
    <row r="835" spans="2:65" s="2216" customFormat="1">
      <c r="B835" s="2217"/>
      <c r="D835" s="2197" t="s">
        <v>3303</v>
      </c>
      <c r="E835" s="2218" t="s">
        <v>3146</v>
      </c>
      <c r="F835" s="2219" t="s">
        <v>3306</v>
      </c>
      <c r="H835" s="2220">
        <v>47</v>
      </c>
      <c r="L835" s="2217"/>
      <c r="M835" s="2221"/>
      <c r="T835" s="2222"/>
      <c r="AT835" s="2218" t="s">
        <v>3303</v>
      </c>
      <c r="AU835" s="2218" t="s">
        <v>134</v>
      </c>
      <c r="AV835" s="2216" t="s">
        <v>856</v>
      </c>
      <c r="AW835" s="2216" t="s">
        <v>3171</v>
      </c>
      <c r="AX835" s="2216" t="s">
        <v>133</v>
      </c>
      <c r="AY835" s="2218" t="s">
        <v>3285</v>
      </c>
    </row>
    <row r="836" spans="2:65" s="2070" customFormat="1" ht="24.2" customHeight="1">
      <c r="B836" s="2164"/>
      <c r="C836" s="5609" t="s">
        <v>4086</v>
      </c>
      <c r="D836" s="4614" t="s">
        <v>135</v>
      </c>
      <c r="E836" s="4615" t="s">
        <v>11230</v>
      </c>
      <c r="F836" s="4616" t="s">
        <v>11231</v>
      </c>
      <c r="G836" s="4617" t="s">
        <v>155</v>
      </c>
      <c r="H836" s="4618">
        <v>11</v>
      </c>
      <c r="I836" s="5876" t="s">
        <v>11555</v>
      </c>
      <c r="J836" s="5877"/>
      <c r="K836" s="4616" t="s">
        <v>142</v>
      </c>
      <c r="L836" s="2223"/>
      <c r="M836" s="2224" t="s">
        <v>3146</v>
      </c>
      <c r="N836" s="2225" t="s">
        <v>3181</v>
      </c>
      <c r="O836" s="2191">
        <v>0</v>
      </c>
      <c r="P836" s="2191">
        <f>O836*H836</f>
        <v>0</v>
      </c>
      <c r="Q836" s="2191">
        <v>1.6E-2</v>
      </c>
      <c r="R836" s="2191">
        <f>Q836*H836</f>
        <v>0.17599999999999999</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v>0</v>
      </c>
      <c r="BL836" s="2056" t="s">
        <v>2894</v>
      </c>
      <c r="BM836" s="2193" t="s">
        <v>11287</v>
      </c>
    </row>
    <row r="837" spans="2:65" s="2209" customFormat="1">
      <c r="B837" s="2210"/>
      <c r="D837" s="2197" t="s">
        <v>3303</v>
      </c>
      <c r="E837" s="2211" t="s">
        <v>3146</v>
      </c>
      <c r="F837" s="2212" t="s">
        <v>5090</v>
      </c>
      <c r="H837" s="2213">
        <v>11</v>
      </c>
      <c r="L837" s="2210"/>
      <c r="M837" s="2214"/>
      <c r="T837" s="2215"/>
      <c r="AT837" s="2211" t="s">
        <v>3303</v>
      </c>
      <c r="AU837" s="2211" t="s">
        <v>134</v>
      </c>
      <c r="AV837" s="2209" t="s">
        <v>134</v>
      </c>
      <c r="AW837" s="2209" t="s">
        <v>3171</v>
      </c>
      <c r="AX837" s="2209" t="s">
        <v>133</v>
      </c>
      <c r="AY837" s="2211" t="s">
        <v>3285</v>
      </c>
    </row>
    <row r="838" spans="2:65" s="2070" customFormat="1" ht="24.2" customHeight="1">
      <c r="B838" s="2164"/>
      <c r="C838" s="5609" t="s">
        <v>4090</v>
      </c>
      <c r="D838" s="4614" t="s">
        <v>135</v>
      </c>
      <c r="E838" s="4615" t="s">
        <v>11288</v>
      </c>
      <c r="F838" s="4616" t="s">
        <v>11289</v>
      </c>
      <c r="G838" s="4617" t="s">
        <v>155</v>
      </c>
      <c r="H838" s="4618">
        <v>1</v>
      </c>
      <c r="I838" s="5876" t="s">
        <v>11555</v>
      </c>
      <c r="J838" s="5877"/>
      <c r="K838" s="4616" t="s">
        <v>142</v>
      </c>
      <c r="L838" s="2223"/>
      <c r="M838" s="2224" t="s">
        <v>3146</v>
      </c>
      <c r="N838" s="2225" t="s">
        <v>3181</v>
      </c>
      <c r="O838" s="2191">
        <v>0</v>
      </c>
      <c r="P838" s="2191">
        <f>O838*H838</f>
        <v>0</v>
      </c>
      <c r="Q838" s="2191">
        <v>1.4500000000000001E-2</v>
      </c>
      <c r="R838" s="2191">
        <f>Q838*H838</f>
        <v>1.4500000000000001E-2</v>
      </c>
      <c r="S838" s="2191">
        <v>0</v>
      </c>
      <c r="T838" s="2192">
        <f>S838*H838</f>
        <v>0</v>
      </c>
      <c r="AR838" s="2193" t="s">
        <v>3389</v>
      </c>
      <c r="AT838" s="2193" t="s">
        <v>135</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v>0</v>
      </c>
      <c r="BL838" s="2056" t="s">
        <v>2894</v>
      </c>
      <c r="BM838" s="2193" t="s">
        <v>11290</v>
      </c>
    </row>
    <row r="839" spans="2:65" s="2070" customFormat="1" ht="24.2" customHeight="1">
      <c r="B839" s="2164"/>
      <c r="C839" s="5609" t="s">
        <v>4095</v>
      </c>
      <c r="D839" s="4614" t="s">
        <v>135</v>
      </c>
      <c r="E839" s="4615" t="s">
        <v>11237</v>
      </c>
      <c r="F839" s="4616" t="s">
        <v>11238</v>
      </c>
      <c r="G839" s="4617" t="s">
        <v>155</v>
      </c>
      <c r="H839" s="4618">
        <v>35</v>
      </c>
      <c r="I839" s="5876" t="s">
        <v>11555</v>
      </c>
      <c r="J839" s="5877"/>
      <c r="K839" s="4616" t="s">
        <v>142</v>
      </c>
      <c r="L839" s="2223"/>
      <c r="M839" s="2224" t="s">
        <v>3146</v>
      </c>
      <c r="N839" s="2225" t="s">
        <v>3181</v>
      </c>
      <c r="O839" s="2191">
        <v>0</v>
      </c>
      <c r="P839" s="2191">
        <f>O839*H839</f>
        <v>0</v>
      </c>
      <c r="Q839" s="2191">
        <v>1.7000000000000001E-2</v>
      </c>
      <c r="R839" s="2191">
        <f>Q839*H839</f>
        <v>0.59500000000000008</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v>0</v>
      </c>
      <c r="BL839" s="2056" t="s">
        <v>2894</v>
      </c>
      <c r="BM839" s="2193" t="s">
        <v>11291</v>
      </c>
    </row>
    <row r="840" spans="2:65" s="2209" customFormat="1">
      <c r="B840" s="2210"/>
      <c r="D840" s="2197" t="s">
        <v>3303</v>
      </c>
      <c r="E840" s="2211" t="s">
        <v>3146</v>
      </c>
      <c r="F840" s="2212" t="s">
        <v>11292</v>
      </c>
      <c r="H840" s="2213">
        <v>35</v>
      </c>
      <c r="L840" s="2210"/>
      <c r="M840" s="2214"/>
      <c r="T840" s="2215"/>
      <c r="AT840" s="2211" t="s">
        <v>3303</v>
      </c>
      <c r="AU840" s="2211" t="s">
        <v>134</v>
      </c>
      <c r="AV840" s="2209" t="s">
        <v>134</v>
      </c>
      <c r="AW840" s="2209" t="s">
        <v>3171</v>
      </c>
      <c r="AX840" s="2209" t="s">
        <v>133</v>
      </c>
      <c r="AY840" s="2211" t="s">
        <v>3285</v>
      </c>
    </row>
    <row r="841" spans="2:65" s="2070" customFormat="1" ht="16.5" customHeight="1">
      <c r="B841" s="2164"/>
      <c r="C841" s="5561" t="s">
        <v>4099</v>
      </c>
      <c r="D841" s="4608" t="s">
        <v>3286</v>
      </c>
      <c r="E841" s="4609" t="s">
        <v>11293</v>
      </c>
      <c r="F841" s="4610" t="s">
        <v>11294</v>
      </c>
      <c r="G841" s="4611" t="s">
        <v>155</v>
      </c>
      <c r="H841" s="4612">
        <v>121</v>
      </c>
      <c r="I841" s="5876" t="s">
        <v>11555</v>
      </c>
      <c r="J841" s="5877"/>
      <c r="K841" s="4610" t="s">
        <v>3146</v>
      </c>
      <c r="L841" s="2071"/>
      <c r="M841" s="2190" t="s">
        <v>3146</v>
      </c>
      <c r="N841" s="2163" t="s">
        <v>3181</v>
      </c>
      <c r="O841" s="2191">
        <v>0.26</v>
      </c>
      <c r="P841" s="2191">
        <f>O841*H841</f>
        <v>31.46</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v>0</v>
      </c>
      <c r="BL841" s="2056" t="s">
        <v>2894</v>
      </c>
      <c r="BM841" s="2193" t="s">
        <v>11295</v>
      </c>
    </row>
    <row r="842" spans="2:65" s="2070" customFormat="1" ht="16.5" customHeight="1">
      <c r="B842" s="2164"/>
      <c r="C842" s="5561" t="s">
        <v>4105</v>
      </c>
      <c r="D842" s="4608" t="s">
        <v>3286</v>
      </c>
      <c r="E842" s="4609" t="s">
        <v>11296</v>
      </c>
      <c r="F842" s="4610" t="s">
        <v>11297</v>
      </c>
      <c r="G842" s="4611" t="s">
        <v>155</v>
      </c>
      <c r="H842" s="5568">
        <v>292</v>
      </c>
      <c r="I842" s="5876" t="s">
        <v>11555</v>
      </c>
      <c r="J842" s="5877"/>
      <c r="K842" s="4610" t="s">
        <v>142</v>
      </c>
      <c r="L842" s="2071"/>
      <c r="M842" s="2190" t="s">
        <v>3146</v>
      </c>
      <c r="N842" s="2163" t="s">
        <v>3181</v>
      </c>
      <c r="O842" s="2191">
        <v>0.26</v>
      </c>
      <c r="P842" s="2191">
        <f>O842*H842</f>
        <v>75.92</v>
      </c>
      <c r="Q842" s="2191">
        <v>0</v>
      </c>
      <c r="R842" s="2191">
        <f>Q842*H842</f>
        <v>0</v>
      </c>
      <c r="S842" s="2191">
        <v>0</v>
      </c>
      <c r="T842" s="2192">
        <f>S842*H842</f>
        <v>0</v>
      </c>
      <c r="AR842" s="2193" t="s">
        <v>2894</v>
      </c>
      <c r="AT842" s="2193" t="s">
        <v>3286</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v>0</v>
      </c>
      <c r="BL842" s="2056" t="s">
        <v>2894</v>
      </c>
      <c r="BM842" s="2193" t="s">
        <v>11298</v>
      </c>
    </row>
    <row r="843" spans="2:65" s="2070" customFormat="1" ht="16.5" customHeight="1">
      <c r="B843" s="2164"/>
      <c r="C843" s="5609" t="s">
        <v>4111</v>
      </c>
      <c r="D843" s="4614" t="s">
        <v>135</v>
      </c>
      <c r="E843" s="4615" t="s">
        <v>11299</v>
      </c>
      <c r="F843" s="4616" t="s">
        <v>11300</v>
      </c>
      <c r="G843" s="4617" t="s">
        <v>611</v>
      </c>
      <c r="H843" s="4618">
        <v>79.230999999999995</v>
      </c>
      <c r="I843" s="5876" t="s">
        <v>11555</v>
      </c>
      <c r="J843" s="5877"/>
      <c r="K843" s="4616" t="s">
        <v>3146</v>
      </c>
      <c r="L843" s="2196"/>
      <c r="M843" s="2224" t="s">
        <v>3146</v>
      </c>
      <c r="N843" s="2225" t="s">
        <v>3181</v>
      </c>
      <c r="O843" s="2191">
        <v>0</v>
      </c>
      <c r="P843" s="2191">
        <f>O843*H843</f>
        <v>0</v>
      </c>
      <c r="Q843" s="2191">
        <v>5.9999999999999995E-4</v>
      </c>
      <c r="R843" s="2191">
        <f>Q843*H843</f>
        <v>4.7538599999999993E-2</v>
      </c>
      <c r="S843" s="2191">
        <v>0</v>
      </c>
      <c r="T843" s="2192">
        <f>S843*H843</f>
        <v>0</v>
      </c>
      <c r="AR843" s="2193" t="s">
        <v>3389</v>
      </c>
      <c r="AT843" s="2193" t="s">
        <v>135</v>
      </c>
      <c r="AU843" s="2193" t="s">
        <v>134</v>
      </c>
      <c r="AY843" s="2056" t="s">
        <v>3285</v>
      </c>
      <c r="BE843" s="2194">
        <f>IF(N843="základní",J843,0)</f>
        <v>0</v>
      </c>
      <c r="BF843" s="2194">
        <f>IF(N843="snížená",J843,0)</f>
        <v>0</v>
      </c>
      <c r="BG843" s="2194">
        <f>IF(N843="zákl. přenesená",J843,0)</f>
        <v>0</v>
      </c>
      <c r="BH843" s="2194">
        <f>IF(N843="sníž. přenesená",J843,0)</f>
        <v>0</v>
      </c>
      <c r="BI843" s="2194">
        <f>IF(N843="nulová",J843,0)</f>
        <v>0</v>
      </c>
      <c r="BJ843" s="2056" t="s">
        <v>134</v>
      </c>
      <c r="BK843" s="2194">
        <v>0</v>
      </c>
      <c r="BL843" s="2056" t="s">
        <v>2894</v>
      </c>
      <c r="BM843" s="2193" t="s">
        <v>11301</v>
      </c>
    </row>
    <row r="844" spans="2:65" s="2209" customFormat="1" ht="22.5">
      <c r="B844" s="2210"/>
      <c r="D844" s="2197" t="s">
        <v>3303</v>
      </c>
      <c r="E844" s="2211" t="s">
        <v>3146</v>
      </c>
      <c r="F844" s="2212" t="s">
        <v>11302</v>
      </c>
      <c r="H844" s="2213">
        <v>3.86</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11303</v>
      </c>
      <c r="H845" s="2213">
        <v>9.6</v>
      </c>
      <c r="L845" s="2196"/>
      <c r="M845" s="2214"/>
      <c r="T845" s="2215"/>
      <c r="AT845" s="2211" t="s">
        <v>3303</v>
      </c>
      <c r="AU845" s="2211" t="s">
        <v>134</v>
      </c>
      <c r="AV845" s="2209" t="s">
        <v>134</v>
      </c>
      <c r="AW845" s="2209" t="s">
        <v>3171</v>
      </c>
      <c r="AX845" s="2209" t="s">
        <v>3213</v>
      </c>
      <c r="AY845" s="2211" t="s">
        <v>3285</v>
      </c>
    </row>
    <row r="846" spans="2:65" s="2209" customFormat="1">
      <c r="B846" s="2210"/>
      <c r="D846" s="2197" t="s">
        <v>3303</v>
      </c>
      <c r="E846" s="2211" t="s">
        <v>3146</v>
      </c>
      <c r="F846" s="2212" t="s">
        <v>11304</v>
      </c>
      <c r="H846" s="2213">
        <v>2</v>
      </c>
      <c r="L846" s="2210"/>
      <c r="M846" s="2214"/>
      <c r="T846" s="2215"/>
      <c r="AT846" s="2211" t="s">
        <v>3303</v>
      </c>
      <c r="AU846" s="2211" t="s">
        <v>134</v>
      </c>
      <c r="AV846" s="2209" t="s">
        <v>134</v>
      </c>
      <c r="AW846" s="2209" t="s">
        <v>3171</v>
      </c>
      <c r="AX846" s="2209" t="s">
        <v>3213</v>
      </c>
      <c r="AY846" s="2211" t="s">
        <v>3285</v>
      </c>
    </row>
    <row r="847" spans="2:65" s="2209" customFormat="1" ht="33.75">
      <c r="B847" s="2210"/>
      <c r="D847" s="2197" t="s">
        <v>3303</v>
      </c>
      <c r="E847" s="2211" t="s">
        <v>3146</v>
      </c>
      <c r="F847" s="2212" t="s">
        <v>11305</v>
      </c>
      <c r="H847" s="2213">
        <v>11.848000000000001</v>
      </c>
      <c r="L847" s="2217"/>
      <c r="M847" s="2214"/>
      <c r="T847" s="2215"/>
      <c r="AT847" s="2211" t="s">
        <v>3303</v>
      </c>
      <c r="AU847" s="2211" t="s">
        <v>134</v>
      </c>
      <c r="AV847" s="2209" t="s">
        <v>134</v>
      </c>
      <c r="AW847" s="2209" t="s">
        <v>3171</v>
      </c>
      <c r="AX847" s="2209" t="s">
        <v>3213</v>
      </c>
      <c r="AY847" s="2211" t="s">
        <v>3285</v>
      </c>
    </row>
    <row r="848" spans="2:65" s="2209" customFormat="1" ht="22.5">
      <c r="B848" s="2210"/>
      <c r="D848" s="2197" t="s">
        <v>3303</v>
      </c>
      <c r="E848" s="2211" t="s">
        <v>3146</v>
      </c>
      <c r="F848" s="2212" t="s">
        <v>11306</v>
      </c>
      <c r="H848" s="2213">
        <v>21.6</v>
      </c>
      <c r="L848" s="2223"/>
      <c r="M848" s="2214"/>
      <c r="T848" s="2215"/>
      <c r="AT848" s="2211" t="s">
        <v>3303</v>
      </c>
      <c r="AU848" s="2211" t="s">
        <v>134</v>
      </c>
      <c r="AV848" s="2209" t="s">
        <v>134</v>
      </c>
      <c r="AW848" s="2209" t="s">
        <v>3171</v>
      </c>
      <c r="AX848" s="2209" t="s">
        <v>3213</v>
      </c>
      <c r="AY848" s="2211" t="s">
        <v>3285</v>
      </c>
    </row>
    <row r="849" spans="2:65" s="2209" customFormat="1" ht="22.5">
      <c r="B849" s="2210"/>
      <c r="D849" s="2197" t="s">
        <v>3303</v>
      </c>
      <c r="E849" s="2211" t="s">
        <v>3146</v>
      </c>
      <c r="F849" s="2212" t="s">
        <v>11307</v>
      </c>
      <c r="H849" s="2213">
        <v>5.68</v>
      </c>
      <c r="L849" s="2210"/>
      <c r="M849" s="2214"/>
      <c r="T849" s="2215"/>
      <c r="AT849" s="2211" t="s">
        <v>3303</v>
      </c>
      <c r="AU849" s="2211" t="s">
        <v>134</v>
      </c>
      <c r="AV849" s="2209" t="s">
        <v>134</v>
      </c>
      <c r="AW849" s="2209" t="s">
        <v>3171</v>
      </c>
      <c r="AX849" s="2209" t="s">
        <v>3213</v>
      </c>
      <c r="AY849" s="2211" t="s">
        <v>3285</v>
      </c>
    </row>
    <row r="850" spans="2:65" s="2202" customFormat="1">
      <c r="B850" s="2203"/>
      <c r="D850" s="2197" t="s">
        <v>3303</v>
      </c>
      <c r="E850" s="2204" t="s">
        <v>3146</v>
      </c>
      <c r="F850" s="2205" t="s">
        <v>3305</v>
      </c>
      <c r="H850" s="2206">
        <v>54.588000000000001</v>
      </c>
      <c r="L850" s="2203"/>
      <c r="M850" s="2207"/>
      <c r="T850" s="2208"/>
      <c r="AT850" s="2204" t="s">
        <v>3303</v>
      </c>
      <c r="AU850" s="2204" t="s">
        <v>134</v>
      </c>
      <c r="AV850" s="2202" t="s">
        <v>854</v>
      </c>
      <c r="AW850" s="2202" t="s">
        <v>3171</v>
      </c>
      <c r="AX850" s="2202" t="s">
        <v>3213</v>
      </c>
      <c r="AY850" s="2204" t="s">
        <v>3285</v>
      </c>
    </row>
    <row r="851" spans="2:65" s="2195" customFormat="1">
      <c r="B851" s="2196"/>
      <c r="D851" s="2197" t="s">
        <v>3303</v>
      </c>
      <c r="E851" s="2198" t="s">
        <v>3146</v>
      </c>
      <c r="F851" s="2199" t="s">
        <v>11308</v>
      </c>
      <c r="H851" s="2198" t="s">
        <v>3146</v>
      </c>
      <c r="L851" s="2196"/>
      <c r="M851" s="2200"/>
      <c r="T851" s="2201"/>
      <c r="AT851" s="2198" t="s">
        <v>3303</v>
      </c>
      <c r="AU851" s="2198" t="s">
        <v>134</v>
      </c>
      <c r="AV851" s="2195" t="s">
        <v>133</v>
      </c>
      <c r="AW851" s="2195" t="s">
        <v>3171</v>
      </c>
      <c r="AX851" s="2195" t="s">
        <v>3213</v>
      </c>
      <c r="AY851" s="2198" t="s">
        <v>3285</v>
      </c>
    </row>
    <row r="852" spans="2:65" s="2209" customFormat="1">
      <c r="B852" s="2210"/>
      <c r="D852" s="2197" t="s">
        <v>3303</v>
      </c>
      <c r="E852" s="2211" t="s">
        <v>3146</v>
      </c>
      <c r="F852" s="2212" t="s">
        <v>11309</v>
      </c>
      <c r="H852" s="2213">
        <v>17.440000000000001</v>
      </c>
      <c r="L852" s="2210"/>
      <c r="M852" s="2214"/>
      <c r="T852" s="2215"/>
      <c r="AT852" s="2211" t="s">
        <v>3303</v>
      </c>
      <c r="AU852" s="2211" t="s">
        <v>134</v>
      </c>
      <c r="AV852" s="2209" t="s">
        <v>134</v>
      </c>
      <c r="AW852" s="2209" t="s">
        <v>3171</v>
      </c>
      <c r="AX852" s="2209" t="s">
        <v>3213</v>
      </c>
      <c r="AY852" s="2211" t="s">
        <v>3285</v>
      </c>
    </row>
    <row r="853" spans="2:65" s="2202" customFormat="1">
      <c r="B853" s="2203"/>
      <c r="D853" s="2197" t="s">
        <v>3303</v>
      </c>
      <c r="E853" s="2204" t="s">
        <v>3146</v>
      </c>
      <c r="F853" s="2205" t="s">
        <v>3305</v>
      </c>
      <c r="H853" s="2206">
        <v>17.440000000000001</v>
      </c>
      <c r="L853" s="2203"/>
      <c r="M853" s="2207"/>
      <c r="T853" s="2208"/>
      <c r="AT853" s="2204" t="s">
        <v>3303</v>
      </c>
      <c r="AU853" s="2204" t="s">
        <v>134</v>
      </c>
      <c r="AV853" s="2202" t="s">
        <v>854</v>
      </c>
      <c r="AW853" s="2202" t="s">
        <v>3171</v>
      </c>
      <c r="AX853" s="2202" t="s">
        <v>3213</v>
      </c>
      <c r="AY853" s="2204" t="s">
        <v>3285</v>
      </c>
    </row>
    <row r="854" spans="2:65" s="2216" customFormat="1">
      <c r="B854" s="2217"/>
      <c r="D854" s="2197" t="s">
        <v>3303</v>
      </c>
      <c r="E854" s="2218" t="s">
        <v>3146</v>
      </c>
      <c r="F854" s="2219" t="s">
        <v>3306</v>
      </c>
      <c r="H854" s="2220">
        <v>72.028000000000006</v>
      </c>
      <c r="L854" s="2217"/>
      <c r="M854" s="2221"/>
      <c r="T854" s="2222"/>
      <c r="AT854" s="2218" t="s">
        <v>3303</v>
      </c>
      <c r="AU854" s="2218" t="s">
        <v>134</v>
      </c>
      <c r="AV854" s="2216" t="s">
        <v>856</v>
      </c>
      <c r="AW854" s="2216" t="s">
        <v>3171</v>
      </c>
      <c r="AX854" s="2216" t="s">
        <v>133</v>
      </c>
      <c r="AY854" s="2218" t="s">
        <v>3285</v>
      </c>
    </row>
    <row r="855" spans="2:65" s="2209" customFormat="1">
      <c r="B855" s="2210"/>
      <c r="D855" s="2197" t="s">
        <v>3303</v>
      </c>
      <c r="F855" s="2212" t="s">
        <v>11310</v>
      </c>
      <c r="H855" s="2213">
        <v>79.230999999999995</v>
      </c>
      <c r="L855" s="2210"/>
      <c r="M855" s="2214"/>
      <c r="T855" s="2215"/>
      <c r="AT855" s="2211" t="s">
        <v>3303</v>
      </c>
      <c r="AU855" s="2211" t="s">
        <v>134</v>
      </c>
      <c r="AV855" s="2209" t="s">
        <v>134</v>
      </c>
      <c r="AW855" s="2209" t="s">
        <v>3148</v>
      </c>
      <c r="AX855" s="2209" t="s">
        <v>133</v>
      </c>
      <c r="AY855" s="2211" t="s">
        <v>3285</v>
      </c>
    </row>
    <row r="856" spans="2:65" s="2070" customFormat="1" ht="16.5" customHeight="1">
      <c r="B856" s="2164"/>
      <c r="C856" s="4608" t="s">
        <v>4115</v>
      </c>
      <c r="D856" s="4608" t="s">
        <v>3286</v>
      </c>
      <c r="E856" s="4609" t="s">
        <v>11311</v>
      </c>
      <c r="F856" s="4610" t="s">
        <v>11312</v>
      </c>
      <c r="G856" s="4611" t="s">
        <v>155</v>
      </c>
      <c r="H856" s="4612">
        <v>168</v>
      </c>
      <c r="I856" s="5876" t="s">
        <v>11555</v>
      </c>
      <c r="J856" s="5877"/>
      <c r="K856" s="4610" t="s">
        <v>142</v>
      </c>
      <c r="L856" s="2071"/>
      <c r="M856" s="2190" t="s">
        <v>3146</v>
      </c>
      <c r="N856" s="2163" t="s">
        <v>3181</v>
      </c>
      <c r="O856" s="2191">
        <v>0.20899999999999999</v>
      </c>
      <c r="P856" s="2191">
        <f>O856*H856</f>
        <v>35.112000000000002</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v>0</v>
      </c>
      <c r="BL856" s="2056" t="s">
        <v>2894</v>
      </c>
      <c r="BM856" s="2193" t="s">
        <v>11313</v>
      </c>
    </row>
    <row r="857" spans="2:65" s="2209" customFormat="1">
      <c r="B857" s="2210"/>
      <c r="D857" s="2197" t="s">
        <v>3303</v>
      </c>
      <c r="E857" s="2211" t="s">
        <v>3146</v>
      </c>
      <c r="F857" s="2212" t="s">
        <v>11314</v>
      </c>
      <c r="H857" s="2213">
        <v>121</v>
      </c>
      <c r="L857" s="2210"/>
      <c r="M857" s="2214"/>
      <c r="T857" s="2215"/>
      <c r="AT857" s="2211" t="s">
        <v>3303</v>
      </c>
      <c r="AU857" s="2211" t="s">
        <v>134</v>
      </c>
      <c r="AV857" s="2209" t="s">
        <v>134</v>
      </c>
      <c r="AW857" s="2209" t="s">
        <v>3171</v>
      </c>
      <c r="AX857" s="2209" t="s">
        <v>3213</v>
      </c>
      <c r="AY857" s="2211" t="s">
        <v>3285</v>
      </c>
    </row>
    <row r="858" spans="2:65" s="2209" customFormat="1">
      <c r="B858" s="2210"/>
      <c r="D858" s="2197" t="s">
        <v>3303</v>
      </c>
      <c r="E858" s="2211" t="s">
        <v>3146</v>
      </c>
      <c r="F858" s="2212" t="s">
        <v>3472</v>
      </c>
      <c r="H858" s="2213">
        <v>47</v>
      </c>
      <c r="L858" s="2210"/>
      <c r="M858" s="2214"/>
      <c r="T858" s="2215"/>
      <c r="AT858" s="2211" t="s">
        <v>3303</v>
      </c>
      <c r="AU858" s="2211" t="s">
        <v>134</v>
      </c>
      <c r="AV858" s="2209" t="s">
        <v>134</v>
      </c>
      <c r="AW858" s="2209" t="s">
        <v>3171</v>
      </c>
      <c r="AX858" s="2209" t="s">
        <v>3213</v>
      </c>
      <c r="AY858" s="2211" t="s">
        <v>3285</v>
      </c>
    </row>
    <row r="859" spans="2:65" s="2216" customFormat="1">
      <c r="B859" s="2217"/>
      <c r="D859" s="2197" t="s">
        <v>3303</v>
      </c>
      <c r="E859" s="2218" t="s">
        <v>3146</v>
      </c>
      <c r="F859" s="2219" t="s">
        <v>3306</v>
      </c>
      <c r="H859" s="2220">
        <v>168</v>
      </c>
      <c r="L859" s="2217"/>
      <c r="M859" s="2221"/>
      <c r="T859" s="2222"/>
      <c r="AT859" s="2218" t="s">
        <v>3303</v>
      </c>
      <c r="AU859" s="2218" t="s">
        <v>134</v>
      </c>
      <c r="AV859" s="2216" t="s">
        <v>856</v>
      </c>
      <c r="AW859" s="2216" t="s">
        <v>3171</v>
      </c>
      <c r="AX859" s="2216" t="s">
        <v>133</v>
      </c>
      <c r="AY859" s="2218" t="s">
        <v>3285</v>
      </c>
    </row>
    <row r="860" spans="2:65" s="2070" customFormat="1" ht="24.2" customHeight="1">
      <c r="B860" s="2164"/>
      <c r="C860" s="4614" t="s">
        <v>4120</v>
      </c>
      <c r="D860" s="4614" t="s">
        <v>135</v>
      </c>
      <c r="E860" s="4615" t="s">
        <v>11315</v>
      </c>
      <c r="F860" s="4616" t="s">
        <v>11316</v>
      </c>
      <c r="G860" s="4617" t="s">
        <v>155</v>
      </c>
      <c r="H860" s="4618">
        <v>168</v>
      </c>
      <c r="I860" s="5876" t="s">
        <v>11555</v>
      </c>
      <c r="J860" s="5877"/>
      <c r="K860" s="4616" t="s">
        <v>142</v>
      </c>
      <c r="L860" s="2223"/>
      <c r="M860" s="2224" t="s">
        <v>3146</v>
      </c>
      <c r="N860" s="2225" t="s">
        <v>3181</v>
      </c>
      <c r="O860" s="2191">
        <v>0</v>
      </c>
      <c r="P860" s="2191">
        <f>O860*H860</f>
        <v>0</v>
      </c>
      <c r="Q860" s="2191">
        <v>1.4999999999999999E-4</v>
      </c>
      <c r="R860" s="2191">
        <f>Q860*H860</f>
        <v>2.5199999999999997E-2</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v>0</v>
      </c>
      <c r="BL860" s="2056" t="s">
        <v>2894</v>
      </c>
      <c r="BM860" s="2193" t="s">
        <v>11317</v>
      </c>
    </row>
    <row r="861" spans="2:65" s="2070" customFormat="1" ht="21.75" customHeight="1">
      <c r="B861" s="2164"/>
      <c r="C861" s="4608" t="s">
        <v>4127</v>
      </c>
      <c r="D861" s="4608" t="s">
        <v>3286</v>
      </c>
      <c r="E861" s="4609" t="s">
        <v>11318</v>
      </c>
      <c r="F861" s="4610" t="s">
        <v>11319</v>
      </c>
      <c r="G861" s="4611" t="s">
        <v>155</v>
      </c>
      <c r="H861" s="4612">
        <v>121</v>
      </c>
      <c r="I861" s="5876" t="s">
        <v>11555</v>
      </c>
      <c r="J861" s="5877"/>
      <c r="K861" s="4610" t="s">
        <v>142</v>
      </c>
      <c r="L861" s="2071"/>
      <c r="M861" s="2190" t="s">
        <v>3146</v>
      </c>
      <c r="N861" s="2163" t="s">
        <v>3181</v>
      </c>
      <c r="O861" s="2191">
        <v>0.33500000000000002</v>
      </c>
      <c r="P861" s="2191">
        <f>O861*H861</f>
        <v>40.535000000000004</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v>0</v>
      </c>
      <c r="BL861" s="2056" t="s">
        <v>2894</v>
      </c>
      <c r="BM861" s="2193" t="s">
        <v>11320</v>
      </c>
    </row>
    <row r="862" spans="2:65" s="2070" customFormat="1" ht="16.5" customHeight="1">
      <c r="B862" s="2164"/>
      <c r="C862" s="4614" t="s">
        <v>4131</v>
      </c>
      <c r="D862" s="4614" t="s">
        <v>135</v>
      </c>
      <c r="E862" s="4615" t="s">
        <v>11321</v>
      </c>
      <c r="F862" s="4616" t="s">
        <v>11322</v>
      </c>
      <c r="G862" s="4617" t="s">
        <v>155</v>
      </c>
      <c r="H862" s="4618">
        <v>121</v>
      </c>
      <c r="I862" s="5876" t="s">
        <v>11555</v>
      </c>
      <c r="J862" s="5877"/>
      <c r="K862" s="4616" t="s">
        <v>142</v>
      </c>
      <c r="L862" s="2223"/>
      <c r="M862" s="2224" t="s">
        <v>3146</v>
      </c>
      <c r="N862" s="2225" t="s">
        <v>3181</v>
      </c>
      <c r="O862" s="2191">
        <v>0</v>
      </c>
      <c r="P862" s="2191">
        <f>O862*H862</f>
        <v>0</v>
      </c>
      <c r="Q862" s="2191">
        <v>2.2000000000000001E-3</v>
      </c>
      <c r="R862" s="2191">
        <f>Q862*H862</f>
        <v>0.26619999999999999</v>
      </c>
      <c r="S862" s="2191">
        <v>0</v>
      </c>
      <c r="T862" s="2192">
        <f>S862*H862</f>
        <v>0</v>
      </c>
      <c r="AR862" s="2193" t="s">
        <v>3389</v>
      </c>
      <c r="AT862" s="2193" t="s">
        <v>135</v>
      </c>
      <c r="AU862" s="2193" t="s">
        <v>134</v>
      </c>
      <c r="AY862" s="2056" t="s">
        <v>3285</v>
      </c>
      <c r="BE862" s="2194">
        <f>IF(N862="základní",J862,0)</f>
        <v>0</v>
      </c>
      <c r="BF862" s="2194">
        <f>IF(N862="snížená",J862,0)</f>
        <v>0</v>
      </c>
      <c r="BG862" s="2194">
        <f>IF(N862="zákl. přenesená",J862,0)</f>
        <v>0</v>
      </c>
      <c r="BH862" s="2194">
        <f>IF(N862="sníž. přenesená",J862,0)</f>
        <v>0</v>
      </c>
      <c r="BI862" s="2194">
        <f>IF(N862="nulová",J862,0)</f>
        <v>0</v>
      </c>
      <c r="BJ862" s="2056" t="s">
        <v>134</v>
      </c>
      <c r="BK862" s="2194">
        <v>0</v>
      </c>
      <c r="BL862" s="2056" t="s">
        <v>2894</v>
      </c>
      <c r="BM862" s="2193" t="s">
        <v>11323</v>
      </c>
    </row>
    <row r="863" spans="2:65" s="2070" customFormat="1" ht="24.2" customHeight="1">
      <c r="B863" s="2164"/>
      <c r="C863" s="4608" t="s">
        <v>4135</v>
      </c>
      <c r="D863" s="4608" t="s">
        <v>3286</v>
      </c>
      <c r="E863" s="4609" t="s">
        <v>5163</v>
      </c>
      <c r="F863" s="4610" t="s">
        <v>5164</v>
      </c>
      <c r="G863" s="4611" t="s">
        <v>155</v>
      </c>
      <c r="H863" s="4612">
        <v>12</v>
      </c>
      <c r="I863" s="5876" t="s">
        <v>11555</v>
      </c>
      <c r="J863" s="5877"/>
      <c r="K863" s="4610" t="s">
        <v>142</v>
      </c>
      <c r="L863" s="2071"/>
      <c r="M863" s="2190" t="s">
        <v>3146</v>
      </c>
      <c r="N863" s="2163" t="s">
        <v>3181</v>
      </c>
      <c r="O863" s="2191">
        <v>0.379</v>
      </c>
      <c r="P863" s="2191">
        <f>O863*H863</f>
        <v>4.548</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v>0</v>
      </c>
      <c r="BL863" s="2056" t="s">
        <v>2894</v>
      </c>
      <c r="BM863" s="2193" t="s">
        <v>5165</v>
      </c>
    </row>
    <row r="864" spans="2:65" s="2209" customFormat="1">
      <c r="B864" s="2210"/>
      <c r="D864" s="2197" t="s">
        <v>3303</v>
      </c>
      <c r="E864" s="2211" t="s">
        <v>3146</v>
      </c>
      <c r="F864" s="2212" t="s">
        <v>5166</v>
      </c>
      <c r="H864" s="2213">
        <v>12</v>
      </c>
      <c r="L864" s="2210"/>
      <c r="M864" s="2214"/>
      <c r="T864" s="2215"/>
      <c r="AT864" s="2211" t="s">
        <v>3303</v>
      </c>
      <c r="AU864" s="2211" t="s">
        <v>134</v>
      </c>
      <c r="AV864" s="2209" t="s">
        <v>134</v>
      </c>
      <c r="AW864" s="2209" t="s">
        <v>3171</v>
      </c>
      <c r="AX864" s="2209" t="s">
        <v>133</v>
      </c>
      <c r="AY864" s="2211" t="s">
        <v>3285</v>
      </c>
    </row>
    <row r="865" spans="2:65" s="2070" customFormat="1" ht="16.5" customHeight="1">
      <c r="B865" s="2164"/>
      <c r="C865" s="4614" t="s">
        <v>4139</v>
      </c>
      <c r="D865" s="4614" t="s">
        <v>135</v>
      </c>
      <c r="E865" s="4615" t="s">
        <v>5167</v>
      </c>
      <c r="F865" s="4616" t="s">
        <v>5168</v>
      </c>
      <c r="G865" s="4617" t="s">
        <v>155</v>
      </c>
      <c r="H865" s="4618">
        <v>12</v>
      </c>
      <c r="I865" s="5876" t="s">
        <v>11555</v>
      </c>
      <c r="J865" s="5877"/>
      <c r="K865" s="4616" t="s">
        <v>142</v>
      </c>
      <c r="L865" s="2223"/>
      <c r="M865" s="2224" t="s">
        <v>3146</v>
      </c>
      <c r="N865" s="2225" t="s">
        <v>3181</v>
      </c>
      <c r="O865" s="2191">
        <v>0</v>
      </c>
      <c r="P865" s="2191">
        <f>O865*H865</f>
        <v>0</v>
      </c>
      <c r="Q865" s="2191">
        <v>2.2000000000000001E-3</v>
      </c>
      <c r="R865" s="2191">
        <f>Q865*H865</f>
        <v>2.64E-2</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v>0</v>
      </c>
      <c r="BL865" s="2056" t="s">
        <v>2894</v>
      </c>
      <c r="BM865" s="2193" t="s">
        <v>5169</v>
      </c>
    </row>
    <row r="866" spans="2:65" s="2070" customFormat="1" ht="16.5" customHeight="1">
      <c r="B866" s="2164"/>
      <c r="C866" s="4608" t="s">
        <v>4143</v>
      </c>
      <c r="D866" s="4608" t="s">
        <v>3286</v>
      </c>
      <c r="E866" s="4609" t="s">
        <v>5170</v>
      </c>
      <c r="F866" s="4610" t="s">
        <v>5171</v>
      </c>
      <c r="G866" s="4611" t="s">
        <v>155</v>
      </c>
      <c r="H866" s="4612">
        <v>12</v>
      </c>
      <c r="I866" s="5876" t="s">
        <v>11555</v>
      </c>
      <c r="J866" s="5877"/>
      <c r="K866" s="4610" t="s">
        <v>3146</v>
      </c>
      <c r="L866" s="2071"/>
      <c r="M866" s="2190" t="s">
        <v>3146</v>
      </c>
      <c r="N866" s="2163" t="s">
        <v>3181</v>
      </c>
      <c r="O866" s="2191">
        <v>0.81499999999999995</v>
      </c>
      <c r="P866" s="2191">
        <f>O866*H866</f>
        <v>9.7799999999999994</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v>0</v>
      </c>
      <c r="BL866" s="2056" t="s">
        <v>2894</v>
      </c>
      <c r="BM866" s="2193" t="s">
        <v>5172</v>
      </c>
    </row>
    <row r="867" spans="2:65" s="2070" customFormat="1" ht="16.5" customHeight="1">
      <c r="B867" s="2164"/>
      <c r="C867" s="4614" t="s">
        <v>4147</v>
      </c>
      <c r="D867" s="4614" t="s">
        <v>135</v>
      </c>
      <c r="E867" s="4615" t="s">
        <v>5173</v>
      </c>
      <c r="F867" s="4616" t="s">
        <v>5174</v>
      </c>
      <c r="G867" s="4617" t="s">
        <v>155</v>
      </c>
      <c r="H867" s="4618">
        <v>12</v>
      </c>
      <c r="I867" s="5876" t="s">
        <v>11555</v>
      </c>
      <c r="J867" s="5877"/>
      <c r="K867" s="4616" t="s">
        <v>3146</v>
      </c>
      <c r="L867" s="2223"/>
      <c r="M867" s="2224" t="s">
        <v>3146</v>
      </c>
      <c r="N867" s="2225" t="s">
        <v>3181</v>
      </c>
      <c r="O867" s="2191">
        <v>0</v>
      </c>
      <c r="P867" s="2191">
        <f>O867*H867</f>
        <v>0</v>
      </c>
      <c r="Q867" s="2191">
        <v>2.0000000000000001E-4</v>
      </c>
      <c r="R867" s="2191">
        <f>Q867*H867</f>
        <v>2.4000000000000002E-3</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v>0</v>
      </c>
      <c r="BL867" s="2056" t="s">
        <v>2894</v>
      </c>
      <c r="BM867" s="2193" t="s">
        <v>5175</v>
      </c>
    </row>
    <row r="868" spans="2:65" s="2070" customFormat="1" ht="24.2" customHeight="1">
      <c r="B868" s="2164"/>
      <c r="C868" s="4608" t="s">
        <v>4151</v>
      </c>
      <c r="D868" s="4608" t="s">
        <v>3286</v>
      </c>
      <c r="E868" s="4609" t="s">
        <v>5176</v>
      </c>
      <c r="F868" s="4610" t="s">
        <v>5177</v>
      </c>
      <c r="G868" s="4611" t="s">
        <v>155</v>
      </c>
      <c r="H868" s="4612">
        <v>4</v>
      </c>
      <c r="I868" s="5876" t="s">
        <v>11555</v>
      </c>
      <c r="J868" s="5877"/>
      <c r="K868" s="4610" t="s">
        <v>142</v>
      </c>
      <c r="L868" s="2071"/>
      <c r="M868" s="2190" t="s">
        <v>3146</v>
      </c>
      <c r="N868" s="2163" t="s">
        <v>3181</v>
      </c>
      <c r="O868" s="2191">
        <v>0.81499999999999995</v>
      </c>
      <c r="P868" s="2191">
        <f>O868*H868</f>
        <v>3.26</v>
      </c>
      <c r="Q868" s="2191">
        <v>0</v>
      </c>
      <c r="R868" s="2191">
        <f>Q868*H868</f>
        <v>0</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v>0</v>
      </c>
      <c r="BL868" s="2056" t="s">
        <v>2894</v>
      </c>
      <c r="BM868" s="2193" t="s">
        <v>5178</v>
      </c>
    </row>
    <row r="869" spans="2:65" s="2195" customFormat="1">
      <c r="B869" s="2196"/>
      <c r="D869" s="2197" t="s">
        <v>3303</v>
      </c>
      <c r="E869" s="2198" t="s">
        <v>3146</v>
      </c>
      <c r="F869" s="2199" t="s">
        <v>5179</v>
      </c>
      <c r="H869" s="2198" t="s">
        <v>3146</v>
      </c>
      <c r="L869" s="2196"/>
      <c r="M869" s="2200"/>
      <c r="T869" s="2201"/>
      <c r="AT869" s="2198" t="s">
        <v>3303</v>
      </c>
      <c r="AU869" s="2198" t="s">
        <v>134</v>
      </c>
      <c r="AV869" s="2195" t="s">
        <v>133</v>
      </c>
      <c r="AW869" s="2195" t="s">
        <v>3171</v>
      </c>
      <c r="AX869" s="2195" t="s">
        <v>3213</v>
      </c>
      <c r="AY869" s="2198" t="s">
        <v>3285</v>
      </c>
    </row>
    <row r="870" spans="2:65" s="2209" customFormat="1">
      <c r="B870" s="2210"/>
      <c r="D870" s="2197" t="s">
        <v>3303</v>
      </c>
      <c r="E870" s="2211" t="s">
        <v>3146</v>
      </c>
      <c r="F870" s="2212" t="s">
        <v>4744</v>
      </c>
      <c r="H870" s="2213">
        <v>4</v>
      </c>
      <c r="L870" s="2210"/>
      <c r="M870" s="2214"/>
      <c r="T870" s="2215"/>
      <c r="AT870" s="2211" t="s">
        <v>3303</v>
      </c>
      <c r="AU870" s="2211" t="s">
        <v>134</v>
      </c>
      <c r="AV870" s="2209" t="s">
        <v>134</v>
      </c>
      <c r="AW870" s="2209" t="s">
        <v>3171</v>
      </c>
      <c r="AX870" s="2209" t="s">
        <v>3213</v>
      </c>
      <c r="AY870" s="2211" t="s">
        <v>3285</v>
      </c>
    </row>
    <row r="871" spans="2:65" s="2216" customFormat="1">
      <c r="B871" s="2217"/>
      <c r="D871" s="2197" t="s">
        <v>3303</v>
      </c>
      <c r="E871" s="2218" t="s">
        <v>3146</v>
      </c>
      <c r="F871" s="2219" t="s">
        <v>3306</v>
      </c>
      <c r="H871" s="2220">
        <v>4</v>
      </c>
      <c r="L871" s="2217"/>
      <c r="M871" s="2221"/>
      <c r="T871" s="2222"/>
      <c r="AT871" s="2218" t="s">
        <v>3303</v>
      </c>
      <c r="AU871" s="2218" t="s">
        <v>134</v>
      </c>
      <c r="AV871" s="2216" t="s">
        <v>856</v>
      </c>
      <c r="AW871" s="2216" t="s">
        <v>3171</v>
      </c>
      <c r="AX871" s="2216" t="s">
        <v>133</v>
      </c>
      <c r="AY871" s="2218" t="s">
        <v>3285</v>
      </c>
    </row>
    <row r="872" spans="2:65" s="2070" customFormat="1" ht="24.2" customHeight="1">
      <c r="B872" s="2164"/>
      <c r="C872" s="4614" t="s">
        <v>4155</v>
      </c>
      <c r="D872" s="4614" t="s">
        <v>135</v>
      </c>
      <c r="E872" s="4615" t="s">
        <v>5180</v>
      </c>
      <c r="F872" s="4616" t="s">
        <v>5181</v>
      </c>
      <c r="G872" s="4617" t="s">
        <v>155</v>
      </c>
      <c r="H872" s="4618">
        <v>4</v>
      </c>
      <c r="I872" s="5876" t="s">
        <v>11555</v>
      </c>
      <c r="J872" s="5877"/>
      <c r="K872" s="4616" t="s">
        <v>142</v>
      </c>
      <c r="L872" s="2223"/>
      <c r="M872" s="2224" t="s">
        <v>3146</v>
      </c>
      <c r="N872" s="2225" t="s">
        <v>3181</v>
      </c>
      <c r="O872" s="2191">
        <v>0</v>
      </c>
      <c r="P872" s="2191">
        <f>O872*H872</f>
        <v>0</v>
      </c>
      <c r="Q872" s="2191">
        <v>2.9999999999999997E-4</v>
      </c>
      <c r="R872" s="2191">
        <f>Q872*H872</f>
        <v>1.1999999999999999E-3</v>
      </c>
      <c r="S872" s="2191">
        <v>0</v>
      </c>
      <c r="T872" s="2192">
        <f>S872*H872</f>
        <v>0</v>
      </c>
      <c r="AR872" s="2193" t="s">
        <v>3389</v>
      </c>
      <c r="AT872" s="2193" t="s">
        <v>135</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v>0</v>
      </c>
      <c r="BL872" s="2056" t="s">
        <v>2894</v>
      </c>
      <c r="BM872" s="2193" t="s">
        <v>5182</v>
      </c>
    </row>
    <row r="873" spans="2:65" s="2070" customFormat="1" ht="24.2" customHeight="1">
      <c r="B873" s="2164"/>
      <c r="C873" s="4608" t="s">
        <v>4161</v>
      </c>
      <c r="D873" s="4608" t="s">
        <v>3286</v>
      </c>
      <c r="E873" s="4609" t="s">
        <v>5183</v>
      </c>
      <c r="F873" s="4610" t="s">
        <v>5184</v>
      </c>
      <c r="G873" s="4611" t="s">
        <v>141</v>
      </c>
      <c r="H873" s="4612">
        <v>193.92</v>
      </c>
      <c r="I873" s="4613"/>
      <c r="J873" s="4613">
        <f>ROUND(I873*H873,2)</f>
        <v>0</v>
      </c>
      <c r="K873" s="4610" t="s">
        <v>142</v>
      </c>
      <c r="L873" s="2071"/>
      <c r="M873" s="2190" t="s">
        <v>3146</v>
      </c>
      <c r="N873" s="2163" t="s">
        <v>3181</v>
      </c>
      <c r="O873" s="2191">
        <v>0.52100000000000002</v>
      </c>
      <c r="P873" s="2191">
        <f>O873*H873</f>
        <v>101.03232</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5185</v>
      </c>
    </row>
    <row r="874" spans="2:65" s="2195" customFormat="1">
      <c r="B874" s="2196"/>
      <c r="D874" s="2197" t="s">
        <v>3303</v>
      </c>
      <c r="E874" s="2198" t="s">
        <v>3146</v>
      </c>
      <c r="F874" s="2199" t="s">
        <v>5041</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5042</v>
      </c>
      <c r="H875" s="2213">
        <v>6</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5043</v>
      </c>
      <c r="H876" s="2198" t="s">
        <v>3146</v>
      </c>
      <c r="L876" s="2196"/>
      <c r="M876" s="2200"/>
      <c r="T876" s="2201"/>
      <c r="AT876" s="2198" t="s">
        <v>3303</v>
      </c>
      <c r="AU876" s="2198" t="s">
        <v>134</v>
      </c>
      <c r="AV876" s="2195" t="s">
        <v>133</v>
      </c>
      <c r="AW876" s="2195" t="s">
        <v>3171</v>
      </c>
      <c r="AX876" s="2195" t="s">
        <v>3213</v>
      </c>
      <c r="AY876" s="2198" t="s">
        <v>3285</v>
      </c>
    </row>
    <row r="877" spans="2:65" s="2209" customFormat="1">
      <c r="B877" s="2210"/>
      <c r="D877" s="2197" t="s">
        <v>3303</v>
      </c>
      <c r="E877" s="2211" t="s">
        <v>3146</v>
      </c>
      <c r="F877" s="2212" t="s">
        <v>5044</v>
      </c>
      <c r="H877" s="2213">
        <v>4.8</v>
      </c>
      <c r="L877" s="2210"/>
      <c r="M877" s="2214"/>
      <c r="T877" s="2215"/>
      <c r="AT877" s="2211" t="s">
        <v>3303</v>
      </c>
      <c r="AU877" s="2211" t="s">
        <v>134</v>
      </c>
      <c r="AV877" s="2209" t="s">
        <v>134</v>
      </c>
      <c r="AW877" s="2209" t="s">
        <v>3171</v>
      </c>
      <c r="AX877" s="2209" t="s">
        <v>3213</v>
      </c>
      <c r="AY877" s="2211" t="s">
        <v>3285</v>
      </c>
    </row>
    <row r="878" spans="2:65" s="2195" customFormat="1">
      <c r="B878" s="2196"/>
      <c r="D878" s="2197" t="s">
        <v>3303</v>
      </c>
      <c r="E878" s="2198" t="s">
        <v>3146</v>
      </c>
      <c r="F878" s="2199" t="s">
        <v>5045</v>
      </c>
      <c r="H878" s="2198" t="s">
        <v>3146</v>
      </c>
      <c r="L878" s="2196"/>
      <c r="M878" s="2200"/>
      <c r="T878" s="2201"/>
      <c r="AT878" s="2198" t="s">
        <v>3303</v>
      </c>
      <c r="AU878" s="2198" t="s">
        <v>134</v>
      </c>
      <c r="AV878" s="2195" t="s">
        <v>133</v>
      </c>
      <c r="AW878" s="2195" t="s">
        <v>3171</v>
      </c>
      <c r="AX878" s="2195" t="s">
        <v>3213</v>
      </c>
      <c r="AY878" s="2198" t="s">
        <v>3285</v>
      </c>
    </row>
    <row r="879" spans="2:65" s="2209" customFormat="1" ht="22.5">
      <c r="B879" s="2210"/>
      <c r="D879" s="2197" t="s">
        <v>3303</v>
      </c>
      <c r="E879" s="2211" t="s">
        <v>3146</v>
      </c>
      <c r="F879" s="2212" t="s">
        <v>5046</v>
      </c>
      <c r="H879" s="2213">
        <v>183.12</v>
      </c>
      <c r="L879" s="2210"/>
      <c r="M879" s="2214"/>
      <c r="T879" s="2215"/>
      <c r="AT879" s="2211" t="s">
        <v>3303</v>
      </c>
      <c r="AU879" s="2211" t="s">
        <v>134</v>
      </c>
      <c r="AV879" s="2209" t="s">
        <v>134</v>
      </c>
      <c r="AW879" s="2209" t="s">
        <v>3171</v>
      </c>
      <c r="AX879" s="2209" t="s">
        <v>3213</v>
      </c>
      <c r="AY879" s="2211" t="s">
        <v>3285</v>
      </c>
    </row>
    <row r="880" spans="2:65" s="2216" customFormat="1">
      <c r="B880" s="2217"/>
      <c r="D880" s="2197" t="s">
        <v>3303</v>
      </c>
      <c r="E880" s="2218" t="s">
        <v>3146</v>
      </c>
      <c r="F880" s="2219" t="s">
        <v>3306</v>
      </c>
      <c r="H880" s="2220">
        <v>193.92</v>
      </c>
      <c r="L880" s="2217"/>
      <c r="M880" s="2221"/>
      <c r="T880" s="2222"/>
      <c r="AT880" s="2218" t="s">
        <v>3303</v>
      </c>
      <c r="AU880" s="2218" t="s">
        <v>134</v>
      </c>
      <c r="AV880" s="2216" t="s">
        <v>856</v>
      </c>
      <c r="AW880" s="2216" t="s">
        <v>3171</v>
      </c>
      <c r="AX880" s="2216" t="s">
        <v>133</v>
      </c>
      <c r="AY880" s="2218" t="s">
        <v>3285</v>
      </c>
    </row>
    <row r="881" spans="2:65" s="2070" customFormat="1" ht="24.2" customHeight="1">
      <c r="B881" s="2164"/>
      <c r="C881" s="4614" t="s">
        <v>4165</v>
      </c>
      <c r="D881" s="4614" t="s">
        <v>135</v>
      </c>
      <c r="E881" s="4615" t="s">
        <v>5186</v>
      </c>
      <c r="F881" s="4616" t="s">
        <v>5187</v>
      </c>
      <c r="G881" s="4617" t="s">
        <v>141</v>
      </c>
      <c r="H881" s="4618">
        <v>232.70400000000001</v>
      </c>
      <c r="I881" s="4619"/>
      <c r="J881" s="4619">
        <f>ROUND(I881*H881,2)</f>
        <v>0</v>
      </c>
      <c r="K881" s="4616" t="s">
        <v>142</v>
      </c>
      <c r="L881" s="2223"/>
      <c r="M881" s="2224" t="s">
        <v>3146</v>
      </c>
      <c r="N881" s="2225" t="s">
        <v>3181</v>
      </c>
      <c r="O881" s="2191">
        <v>0</v>
      </c>
      <c r="P881" s="2191">
        <f>O881*H881</f>
        <v>0</v>
      </c>
      <c r="Q881" s="2191">
        <v>7.0000000000000001E-3</v>
      </c>
      <c r="R881" s="2191">
        <f>Q881*H881</f>
        <v>1.6289280000000002</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5188</v>
      </c>
    </row>
    <row r="882" spans="2:65" s="2209" customFormat="1">
      <c r="B882" s="2210"/>
      <c r="D882" s="2197" t="s">
        <v>3303</v>
      </c>
      <c r="F882" s="2212" t="s">
        <v>5189</v>
      </c>
      <c r="H882" s="2213">
        <v>232.70400000000001</v>
      </c>
      <c r="L882" s="2210"/>
      <c r="M882" s="2214"/>
      <c r="T882" s="2215"/>
      <c r="AT882" s="2211" t="s">
        <v>3303</v>
      </c>
      <c r="AU882" s="2211" t="s">
        <v>134</v>
      </c>
      <c r="AV882" s="2209" t="s">
        <v>134</v>
      </c>
      <c r="AW882" s="2209" t="s">
        <v>3148</v>
      </c>
      <c r="AX882" s="2209" t="s">
        <v>133</v>
      </c>
      <c r="AY882" s="2211" t="s">
        <v>3285</v>
      </c>
    </row>
    <row r="883" spans="2:65" s="2070" customFormat="1" ht="16.5" customHeight="1">
      <c r="B883" s="2164"/>
      <c r="C883" s="4608" t="s">
        <v>4169</v>
      </c>
      <c r="D883" s="4608" t="s">
        <v>3286</v>
      </c>
      <c r="E883" s="4609" t="s">
        <v>5191</v>
      </c>
      <c r="F883" s="4610" t="s">
        <v>5192</v>
      </c>
      <c r="G883" s="4611" t="s">
        <v>155</v>
      </c>
      <c r="H883" s="4612">
        <v>1</v>
      </c>
      <c r="I883" s="4613"/>
      <c r="J883" s="4613">
        <f t="shared" ref="J883:J895" si="11">ROUND(I883*H883,2)</f>
        <v>0</v>
      </c>
      <c r="K883" s="4610" t="s">
        <v>3146</v>
      </c>
      <c r="L883" s="2071"/>
      <c r="M883" s="2190" t="s">
        <v>3146</v>
      </c>
      <c r="N883" s="2163" t="s">
        <v>3181</v>
      </c>
      <c r="O883" s="2191">
        <v>0.25</v>
      </c>
      <c r="P883" s="2191">
        <f t="shared" ref="P883:P895" si="12">O883*H883</f>
        <v>0.25</v>
      </c>
      <c r="Q883" s="2191">
        <v>0</v>
      </c>
      <c r="R883" s="2191">
        <f t="shared" ref="R883:R895" si="13">Q883*H883</f>
        <v>0</v>
      </c>
      <c r="S883" s="2191">
        <v>0</v>
      </c>
      <c r="T883" s="2192">
        <f t="shared" ref="T883:T895" si="14">S883*H883</f>
        <v>0</v>
      </c>
      <c r="AR883" s="2193" t="s">
        <v>2894</v>
      </c>
      <c r="AT883" s="2193" t="s">
        <v>3286</v>
      </c>
      <c r="AU883" s="2193" t="s">
        <v>134</v>
      </c>
      <c r="AY883" s="2056" t="s">
        <v>3285</v>
      </c>
      <c r="BE883" s="2194">
        <f t="shared" ref="BE883:BE895" si="15">IF(N883="základní",J883,0)</f>
        <v>0</v>
      </c>
      <c r="BF883" s="2194">
        <f t="shared" ref="BF883:BF895" si="16">IF(N883="snížená",J883,0)</f>
        <v>0</v>
      </c>
      <c r="BG883" s="2194">
        <f t="shared" ref="BG883:BG895" si="17">IF(N883="zákl. přenesená",J883,0)</f>
        <v>0</v>
      </c>
      <c r="BH883" s="2194">
        <f t="shared" ref="BH883:BH895" si="18">IF(N883="sníž. přenesená",J883,0)</f>
        <v>0</v>
      </c>
      <c r="BI883" s="2194">
        <f t="shared" ref="BI883:BI895" si="19">IF(N883="nulová",J883,0)</f>
        <v>0</v>
      </c>
      <c r="BJ883" s="2056" t="s">
        <v>134</v>
      </c>
      <c r="BK883" s="2194">
        <f t="shared" ref="BK883:BK895" si="20">ROUND(I883*H883,2)</f>
        <v>0</v>
      </c>
      <c r="BL883" s="2056" t="s">
        <v>2894</v>
      </c>
      <c r="BM883" s="2193" t="s">
        <v>5193</v>
      </c>
    </row>
    <row r="884" spans="2:65" s="2070" customFormat="1" ht="16.5" customHeight="1">
      <c r="B884" s="2164"/>
      <c r="C884" s="4608" t="s">
        <v>4175</v>
      </c>
      <c r="D884" s="4608" t="s">
        <v>3286</v>
      </c>
      <c r="E884" s="4609" t="s">
        <v>5195</v>
      </c>
      <c r="F884" s="4610" t="s">
        <v>5196</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5197</v>
      </c>
    </row>
    <row r="885" spans="2:65" s="2070" customFormat="1" ht="16.5" customHeight="1">
      <c r="B885" s="2164"/>
      <c r="C885" s="4608" t="s">
        <v>4179</v>
      </c>
      <c r="D885" s="4608" t="s">
        <v>3286</v>
      </c>
      <c r="E885" s="4609" t="s">
        <v>5199</v>
      </c>
      <c r="F885" s="4610" t="s">
        <v>5200</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5201</v>
      </c>
    </row>
    <row r="886" spans="2:65" s="2070" customFormat="1" ht="16.5" customHeight="1">
      <c r="B886" s="2164"/>
      <c r="C886" s="4608" t="s">
        <v>4190</v>
      </c>
      <c r="D886" s="4608" t="s">
        <v>3286</v>
      </c>
      <c r="E886" s="4609" t="s">
        <v>5203</v>
      </c>
      <c r="F886" s="4610" t="s">
        <v>5204</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5205</v>
      </c>
    </row>
    <row r="887" spans="2:65" s="2070" customFormat="1" ht="16.5" customHeight="1">
      <c r="B887" s="2164"/>
      <c r="C887" s="4608" t="s">
        <v>4196</v>
      </c>
      <c r="D887" s="4608" t="s">
        <v>3286</v>
      </c>
      <c r="E887" s="4609" t="s">
        <v>5207</v>
      </c>
      <c r="F887" s="4610" t="s">
        <v>5208</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5209</v>
      </c>
    </row>
    <row r="888" spans="2:65" s="2070" customFormat="1" ht="16.5" customHeight="1">
      <c r="B888" s="2164"/>
      <c r="C888" s="4608" t="s">
        <v>4201</v>
      </c>
      <c r="D888" s="4608" t="s">
        <v>3286</v>
      </c>
      <c r="E888" s="4609" t="s">
        <v>5211</v>
      </c>
      <c r="F888" s="4610" t="s">
        <v>5212</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5213</v>
      </c>
    </row>
    <row r="889" spans="2:65" s="2070" customFormat="1" ht="16.5" customHeight="1">
      <c r="B889" s="2164"/>
      <c r="C889" s="4608" t="s">
        <v>2092</v>
      </c>
      <c r="D889" s="4608" t="s">
        <v>3286</v>
      </c>
      <c r="E889" s="4609" t="s">
        <v>5215</v>
      </c>
      <c r="F889" s="4610" t="s">
        <v>5216</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5217</v>
      </c>
    </row>
    <row r="890" spans="2:65" s="2070" customFormat="1" ht="16.5" customHeight="1">
      <c r="B890" s="2164"/>
      <c r="C890" s="4608" t="s">
        <v>4214</v>
      </c>
      <c r="D890" s="4608" t="s">
        <v>3286</v>
      </c>
      <c r="E890" s="4609" t="s">
        <v>5219</v>
      </c>
      <c r="F890" s="4610" t="s">
        <v>5220</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5221</v>
      </c>
    </row>
    <row r="891" spans="2:65" s="2070" customFormat="1" ht="16.5" customHeight="1">
      <c r="B891" s="2164"/>
      <c r="C891" s="4608" t="s">
        <v>4218</v>
      </c>
      <c r="D891" s="4608" t="s">
        <v>3286</v>
      </c>
      <c r="E891" s="4609" t="s">
        <v>5223</v>
      </c>
      <c r="F891" s="4610" t="s">
        <v>5224</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5225</v>
      </c>
    </row>
    <row r="892" spans="2:65" s="2070" customFormat="1" ht="16.5" customHeight="1">
      <c r="B892" s="2164"/>
      <c r="C892" s="4608" t="s">
        <v>4222</v>
      </c>
      <c r="D892" s="4608" t="s">
        <v>3286</v>
      </c>
      <c r="E892" s="4609" t="s">
        <v>5227</v>
      </c>
      <c r="F892" s="4610" t="s">
        <v>5228</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5229</v>
      </c>
    </row>
    <row r="893" spans="2:65" s="2070" customFormat="1" ht="16.5" customHeight="1">
      <c r="B893" s="2164"/>
      <c r="C893" s="4608" t="s">
        <v>4226</v>
      </c>
      <c r="D893" s="4608" t="s">
        <v>3286</v>
      </c>
      <c r="E893" s="4609" t="s">
        <v>5231</v>
      </c>
      <c r="F893" s="4610" t="s">
        <v>5232</v>
      </c>
      <c r="G893" s="4611" t="s">
        <v>155</v>
      </c>
      <c r="H893" s="4612">
        <v>1</v>
      </c>
      <c r="I893" s="4613"/>
      <c r="J893" s="4613">
        <f t="shared" si="11"/>
        <v>0</v>
      </c>
      <c r="K893" s="4610" t="s">
        <v>3146</v>
      </c>
      <c r="L893" s="2071"/>
      <c r="M893" s="2190" t="s">
        <v>3146</v>
      </c>
      <c r="N893" s="2163" t="s">
        <v>3181</v>
      </c>
      <c r="O893" s="2191">
        <v>0.25</v>
      </c>
      <c r="P893" s="2191">
        <f t="shared" si="12"/>
        <v>0.25</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5233</v>
      </c>
    </row>
    <row r="894" spans="2:65" s="2070" customFormat="1" ht="16.5" customHeight="1">
      <c r="B894" s="2164"/>
      <c r="C894" s="4608" t="s">
        <v>4230</v>
      </c>
      <c r="D894" s="4608" t="s">
        <v>3286</v>
      </c>
      <c r="E894" s="4609" t="s">
        <v>5235</v>
      </c>
      <c r="F894" s="4610" t="s">
        <v>5236</v>
      </c>
      <c r="G894" s="4611" t="s">
        <v>155</v>
      </c>
      <c r="H894" s="4612">
        <v>1</v>
      </c>
      <c r="I894" s="4613"/>
      <c r="J894" s="4613">
        <f t="shared" si="11"/>
        <v>0</v>
      </c>
      <c r="K894" s="4610" t="s">
        <v>3146</v>
      </c>
      <c r="L894" s="2071"/>
      <c r="M894" s="2190" t="s">
        <v>3146</v>
      </c>
      <c r="N894" s="2163" t="s">
        <v>3181</v>
      </c>
      <c r="O894" s="2191">
        <v>0.25</v>
      </c>
      <c r="P894" s="2191">
        <f t="shared" si="12"/>
        <v>0.25</v>
      </c>
      <c r="Q894" s="2191">
        <v>0</v>
      </c>
      <c r="R894" s="2191">
        <f t="shared" si="13"/>
        <v>0</v>
      </c>
      <c r="S894" s="2191">
        <v>0</v>
      </c>
      <c r="T894" s="2192">
        <f t="shared" si="14"/>
        <v>0</v>
      </c>
      <c r="AR894" s="2193" t="s">
        <v>2894</v>
      </c>
      <c r="AT894" s="2193" t="s">
        <v>3286</v>
      </c>
      <c r="AU894" s="2193" t="s">
        <v>134</v>
      </c>
      <c r="AY894" s="2056" t="s">
        <v>3285</v>
      </c>
      <c r="BE894" s="2194">
        <f t="shared" si="15"/>
        <v>0</v>
      </c>
      <c r="BF894" s="2194">
        <f t="shared" si="16"/>
        <v>0</v>
      </c>
      <c r="BG894" s="2194">
        <f t="shared" si="17"/>
        <v>0</v>
      </c>
      <c r="BH894" s="2194">
        <f t="shared" si="18"/>
        <v>0</v>
      </c>
      <c r="BI894" s="2194">
        <f t="shared" si="19"/>
        <v>0</v>
      </c>
      <c r="BJ894" s="2056" t="s">
        <v>134</v>
      </c>
      <c r="BK894" s="2194">
        <f t="shared" si="20"/>
        <v>0</v>
      </c>
      <c r="BL894" s="2056" t="s">
        <v>2894</v>
      </c>
      <c r="BM894" s="2193" t="s">
        <v>5237</v>
      </c>
    </row>
    <row r="895" spans="2:65" s="2070" customFormat="1" ht="16.5" customHeight="1">
      <c r="B895" s="2164"/>
      <c r="C895" s="4608" t="s">
        <v>4236</v>
      </c>
      <c r="D895" s="4608" t="s">
        <v>3286</v>
      </c>
      <c r="E895" s="4609" t="s">
        <v>5238</v>
      </c>
      <c r="F895" s="4610" t="s">
        <v>5239</v>
      </c>
      <c r="G895" s="4611" t="s">
        <v>155</v>
      </c>
      <c r="H895" s="4612">
        <v>1</v>
      </c>
      <c r="I895" s="4613"/>
      <c r="J895" s="4613">
        <f t="shared" si="11"/>
        <v>0</v>
      </c>
      <c r="K895" s="4610" t="s">
        <v>3146</v>
      </c>
      <c r="L895" s="2071"/>
      <c r="M895" s="2190" t="s">
        <v>3146</v>
      </c>
      <c r="N895" s="2163" t="s">
        <v>3181</v>
      </c>
      <c r="O895" s="2191">
        <v>1.47</v>
      </c>
      <c r="P895" s="2191">
        <f t="shared" si="12"/>
        <v>1.47</v>
      </c>
      <c r="Q895" s="2191">
        <v>0</v>
      </c>
      <c r="R895" s="2191">
        <f t="shared" si="13"/>
        <v>0</v>
      </c>
      <c r="S895" s="2191">
        <v>0</v>
      </c>
      <c r="T895" s="2192">
        <f t="shared" si="14"/>
        <v>0</v>
      </c>
      <c r="AR895" s="2193" t="s">
        <v>2894</v>
      </c>
      <c r="AT895" s="2193" t="s">
        <v>3286</v>
      </c>
      <c r="AU895" s="2193" t="s">
        <v>134</v>
      </c>
      <c r="AY895" s="2056" t="s">
        <v>3285</v>
      </c>
      <c r="BE895" s="2194">
        <f t="shared" si="15"/>
        <v>0</v>
      </c>
      <c r="BF895" s="2194">
        <f t="shared" si="16"/>
        <v>0</v>
      </c>
      <c r="BG895" s="2194">
        <f t="shared" si="17"/>
        <v>0</v>
      </c>
      <c r="BH895" s="2194">
        <f t="shared" si="18"/>
        <v>0</v>
      </c>
      <c r="BI895" s="2194">
        <f t="shared" si="19"/>
        <v>0</v>
      </c>
      <c r="BJ895" s="2056" t="s">
        <v>134</v>
      </c>
      <c r="BK895" s="2194">
        <f t="shared" si="20"/>
        <v>0</v>
      </c>
      <c r="BL895" s="2056" t="s">
        <v>2894</v>
      </c>
      <c r="BM895" s="2193" t="s">
        <v>5240</v>
      </c>
    </row>
    <row r="896" spans="2:65" s="2209" customFormat="1">
      <c r="B896" s="2210"/>
      <c r="D896" s="2197" t="s">
        <v>3303</v>
      </c>
      <c r="E896" s="2211" t="s">
        <v>3146</v>
      </c>
      <c r="F896" s="2212" t="s">
        <v>5241</v>
      </c>
      <c r="H896" s="2213">
        <v>1</v>
      </c>
      <c r="L896" s="2210"/>
      <c r="M896" s="2214"/>
      <c r="T896" s="2215"/>
      <c r="AT896" s="2211" t="s">
        <v>3303</v>
      </c>
      <c r="AU896" s="2211" t="s">
        <v>134</v>
      </c>
      <c r="AV896" s="2209" t="s">
        <v>134</v>
      </c>
      <c r="AW896" s="2209" t="s">
        <v>3171</v>
      </c>
      <c r="AX896" s="2209" t="s">
        <v>3213</v>
      </c>
      <c r="AY896" s="2211" t="s">
        <v>3285</v>
      </c>
    </row>
    <row r="897" spans="2:65" s="2216" customFormat="1">
      <c r="B897" s="2217"/>
      <c r="D897" s="2197" t="s">
        <v>3303</v>
      </c>
      <c r="E897" s="2218" t="s">
        <v>3146</v>
      </c>
      <c r="F897" s="2219" t="s">
        <v>3306</v>
      </c>
      <c r="H897" s="2220">
        <v>1</v>
      </c>
      <c r="L897" s="2217"/>
      <c r="M897" s="2221"/>
      <c r="T897" s="2222"/>
      <c r="AT897" s="2218" t="s">
        <v>3303</v>
      </c>
      <c r="AU897" s="2218" t="s">
        <v>134</v>
      </c>
      <c r="AV897" s="2216" t="s">
        <v>856</v>
      </c>
      <c r="AW897" s="2216" t="s">
        <v>3171</v>
      </c>
      <c r="AX897" s="2216" t="s">
        <v>133</v>
      </c>
      <c r="AY897" s="2218" t="s">
        <v>3285</v>
      </c>
    </row>
    <row r="898" spans="2:65" s="2070" customFormat="1" ht="33" customHeight="1">
      <c r="B898" s="2164"/>
      <c r="C898" s="4614" t="s">
        <v>4240</v>
      </c>
      <c r="D898" s="4614" t="s">
        <v>135</v>
      </c>
      <c r="E898" s="4615" t="s">
        <v>5242</v>
      </c>
      <c r="F898" s="4616" t="s">
        <v>5243</v>
      </c>
      <c r="G898" s="4617" t="s">
        <v>155</v>
      </c>
      <c r="H898" s="4618">
        <v>1</v>
      </c>
      <c r="I898" s="4619"/>
      <c r="J898" s="4619">
        <f>ROUND(I898*H898,2)</f>
        <v>0</v>
      </c>
      <c r="K898" s="4616" t="s">
        <v>3146</v>
      </c>
      <c r="L898" s="2223"/>
      <c r="M898" s="2224" t="s">
        <v>3146</v>
      </c>
      <c r="N898" s="2225" t="s">
        <v>3181</v>
      </c>
      <c r="O898" s="2191">
        <v>0</v>
      </c>
      <c r="P898" s="2191">
        <f>O898*H898</f>
        <v>0</v>
      </c>
      <c r="Q898" s="2191">
        <v>3.2399999999999998E-2</v>
      </c>
      <c r="R898" s="2191">
        <f>Q898*H898</f>
        <v>3.2399999999999998E-2</v>
      </c>
      <c r="S898" s="2191">
        <v>0</v>
      </c>
      <c r="T898" s="2192">
        <f>S898*H898</f>
        <v>0</v>
      </c>
      <c r="AR898" s="2193" t="s">
        <v>3389</v>
      </c>
      <c r="AT898" s="2193" t="s">
        <v>135</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5244</v>
      </c>
    </row>
    <row r="899" spans="2:65" s="2209" customFormat="1">
      <c r="B899" s="2210"/>
      <c r="D899" s="2197" t="s">
        <v>3303</v>
      </c>
      <c r="E899" s="2211" t="s">
        <v>3146</v>
      </c>
      <c r="F899" s="2212" t="s">
        <v>5241</v>
      </c>
      <c r="H899" s="2213">
        <v>1</v>
      </c>
      <c r="L899" s="2210"/>
      <c r="M899" s="2214"/>
      <c r="T899" s="2215"/>
      <c r="AT899" s="2211" t="s">
        <v>3303</v>
      </c>
      <c r="AU899" s="2211" t="s">
        <v>134</v>
      </c>
      <c r="AV899" s="2209" t="s">
        <v>134</v>
      </c>
      <c r="AW899" s="2209" t="s">
        <v>3171</v>
      </c>
      <c r="AX899" s="2209" t="s">
        <v>133</v>
      </c>
      <c r="AY899" s="2211" t="s">
        <v>3285</v>
      </c>
    </row>
    <row r="900" spans="2:65" s="2070" customFormat="1" ht="24.2" customHeight="1">
      <c r="B900" s="2164"/>
      <c r="C900" s="5561" t="s">
        <v>4244</v>
      </c>
      <c r="D900" s="4608" t="s">
        <v>3286</v>
      </c>
      <c r="E900" s="4609" t="s">
        <v>11324</v>
      </c>
      <c r="F900" s="4610" t="s">
        <v>11325</v>
      </c>
      <c r="G900" s="4611" t="s">
        <v>302</v>
      </c>
      <c r="H900" s="5568">
        <v>3.1</v>
      </c>
      <c r="I900" s="4613"/>
      <c r="J900" s="4613">
        <f>ROUND(I900*H900,2)</f>
        <v>0</v>
      </c>
      <c r="K900" s="4610" t="s">
        <v>142</v>
      </c>
      <c r="L900" s="2071"/>
      <c r="M900" s="2190" t="s">
        <v>3146</v>
      </c>
      <c r="N900" s="2163" t="s">
        <v>3181</v>
      </c>
      <c r="O900" s="2191">
        <v>2.4470000000000001</v>
      </c>
      <c r="P900" s="2191">
        <f>O900*H900</f>
        <v>7.5857000000000001</v>
      </c>
      <c r="Q900" s="2191">
        <v>0</v>
      </c>
      <c r="R900" s="2191">
        <f>Q900*H900</f>
        <v>0</v>
      </c>
      <c r="S900" s="2191">
        <v>0</v>
      </c>
      <c r="T900" s="2192">
        <f>S900*H900</f>
        <v>0</v>
      </c>
      <c r="AR900" s="2193" t="s">
        <v>2894</v>
      </c>
      <c r="AT900" s="2193" t="s">
        <v>3286</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11326</v>
      </c>
    </row>
    <row r="901" spans="2:65" s="2070" customFormat="1" ht="24.2" customHeight="1">
      <c r="B901" s="2164"/>
      <c r="C901" s="5561" t="s">
        <v>4248</v>
      </c>
      <c r="D901" s="4608" t="s">
        <v>3286</v>
      </c>
      <c r="E901" s="4609" t="s">
        <v>11327</v>
      </c>
      <c r="F901" s="4610" t="s">
        <v>11328</v>
      </c>
      <c r="G901" s="4611" t="s">
        <v>302</v>
      </c>
      <c r="H901" s="5568">
        <v>3.1</v>
      </c>
      <c r="I901" s="4613"/>
      <c r="J901" s="4613">
        <f>ROUND(I901*H901,2)</f>
        <v>0</v>
      </c>
      <c r="K901" s="4610" t="s">
        <v>142</v>
      </c>
      <c r="L901" s="2071"/>
      <c r="M901" s="2190" t="s">
        <v>3146</v>
      </c>
      <c r="N901" s="2163" t="s">
        <v>3181</v>
      </c>
      <c r="O901" s="2191">
        <v>1.45</v>
      </c>
      <c r="P901" s="2191">
        <f>O901*H901</f>
        <v>4.4950000000000001</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11329</v>
      </c>
    </row>
    <row r="902" spans="2:65" s="2178" customFormat="1" ht="22.9" customHeight="1">
      <c r="B902" s="2179"/>
      <c r="D902" s="2180" t="s">
        <v>3212</v>
      </c>
      <c r="E902" s="2188" t="s">
        <v>2823</v>
      </c>
      <c r="F902" s="2188" t="s">
        <v>2822</v>
      </c>
      <c r="J902" s="2189">
        <f>BK902</f>
        <v>0</v>
      </c>
      <c r="L902" s="2179"/>
      <c r="M902" s="2183"/>
      <c r="P902" s="2184">
        <f>SUM(P903:P1615)</f>
        <v>2417.3827540000002</v>
      </c>
      <c r="R902" s="2184">
        <f>SUM(R903:R1615)</f>
        <v>29.48523024</v>
      </c>
      <c r="T902" s="2185">
        <f>SUM(T903:T1615)</f>
        <v>0</v>
      </c>
      <c r="AR902" s="2180" t="s">
        <v>134</v>
      </c>
      <c r="AT902" s="2186" t="s">
        <v>3212</v>
      </c>
      <c r="AU902" s="2186" t="s">
        <v>133</v>
      </c>
      <c r="AY902" s="2180" t="s">
        <v>3285</v>
      </c>
      <c r="BK902" s="2187">
        <f>SUM(BK903:BK1615)</f>
        <v>0</v>
      </c>
    </row>
    <row r="903" spans="2:65" s="2070" customFormat="1" ht="21.75" customHeight="1">
      <c r="B903" s="2164"/>
      <c r="C903" s="4608" t="s">
        <v>2724</v>
      </c>
      <c r="D903" s="4608" t="s">
        <v>3286</v>
      </c>
      <c r="E903" s="4609" t="s">
        <v>5260</v>
      </c>
      <c r="F903" s="4610" t="s">
        <v>5261</v>
      </c>
      <c r="G903" s="4611" t="s">
        <v>611</v>
      </c>
      <c r="H903" s="4612">
        <v>210</v>
      </c>
      <c r="I903" s="4613"/>
      <c r="J903" s="4613">
        <f>ROUND(I903*H903,2)</f>
        <v>0</v>
      </c>
      <c r="K903" s="4610" t="s">
        <v>3146</v>
      </c>
      <c r="L903" s="2071"/>
      <c r="M903" s="2190" t="s">
        <v>3146</v>
      </c>
      <c r="N903" s="2163" t="s">
        <v>3181</v>
      </c>
      <c r="O903" s="2191">
        <v>0</v>
      </c>
      <c r="P903" s="2191">
        <f>O903*H903</f>
        <v>0</v>
      </c>
      <c r="Q903" s="2191">
        <v>0</v>
      </c>
      <c r="R903" s="2191">
        <f>Q903*H903</f>
        <v>0</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5262</v>
      </c>
    </row>
    <row r="904" spans="2:65" s="2209" customFormat="1">
      <c r="B904" s="2210"/>
      <c r="D904" s="2197" t="s">
        <v>3303</v>
      </c>
      <c r="E904" s="2211" t="s">
        <v>3146</v>
      </c>
      <c r="F904" s="2212" t="s">
        <v>5263</v>
      </c>
      <c r="H904" s="2213">
        <v>210</v>
      </c>
      <c r="L904" s="2210"/>
      <c r="M904" s="2214"/>
      <c r="T904" s="2215"/>
      <c r="AT904" s="2211" t="s">
        <v>3303</v>
      </c>
      <c r="AU904" s="2211" t="s">
        <v>134</v>
      </c>
      <c r="AV904" s="2209" t="s">
        <v>134</v>
      </c>
      <c r="AW904" s="2209" t="s">
        <v>3171</v>
      </c>
      <c r="AX904" s="2209" t="s">
        <v>133</v>
      </c>
      <c r="AY904" s="2211" t="s">
        <v>3285</v>
      </c>
    </row>
    <row r="905" spans="2:65" s="2070" customFormat="1" ht="24.2" customHeight="1">
      <c r="B905" s="2164"/>
      <c r="C905" s="4608" t="s">
        <v>5773</v>
      </c>
      <c r="D905" s="4608" t="s">
        <v>3286</v>
      </c>
      <c r="E905" s="4609" t="s">
        <v>5264</v>
      </c>
      <c r="F905" s="4610" t="s">
        <v>5265</v>
      </c>
      <c r="G905" s="4611" t="s">
        <v>141</v>
      </c>
      <c r="H905" s="4612">
        <v>12</v>
      </c>
      <c r="I905" s="4613"/>
      <c r="J905" s="4613">
        <f>ROUND(I905*H905,2)</f>
        <v>0</v>
      </c>
      <c r="K905" s="4610" t="s">
        <v>142</v>
      </c>
      <c r="L905" s="2071"/>
      <c r="M905" s="2190" t="s">
        <v>3146</v>
      </c>
      <c r="N905" s="2163" t="s">
        <v>3181</v>
      </c>
      <c r="O905" s="2191">
        <v>0.72599999999999998</v>
      </c>
      <c r="P905" s="2191">
        <f>O905*H905</f>
        <v>8.7119999999999997</v>
      </c>
      <c r="Q905" s="2191">
        <v>3.0000000000000001E-5</v>
      </c>
      <c r="R905" s="2191">
        <f>Q905*H905</f>
        <v>3.6000000000000002E-4</v>
      </c>
      <c r="S905" s="2191">
        <v>0</v>
      </c>
      <c r="T905" s="2192">
        <f>S905*H905</f>
        <v>0</v>
      </c>
      <c r="AR905" s="2193" t="s">
        <v>2894</v>
      </c>
      <c r="AT905" s="2193" t="s">
        <v>3286</v>
      </c>
      <c r="AU905" s="2193" t="s">
        <v>134</v>
      </c>
      <c r="AY905" s="2056" t="s">
        <v>3285</v>
      </c>
      <c r="BE905" s="2194">
        <f>IF(N905="základní",J905,0)</f>
        <v>0</v>
      </c>
      <c r="BF905" s="2194">
        <f>IF(N905="snížená",J905,0)</f>
        <v>0</v>
      </c>
      <c r="BG905" s="2194">
        <f>IF(N905="zákl. přenesená",J905,0)</f>
        <v>0</v>
      </c>
      <c r="BH905" s="2194">
        <f>IF(N905="sníž. přenesená",J905,0)</f>
        <v>0</v>
      </c>
      <c r="BI905" s="2194">
        <f>IF(N905="nulová",J905,0)</f>
        <v>0</v>
      </c>
      <c r="BJ905" s="2056" t="s">
        <v>134</v>
      </c>
      <c r="BK905" s="2194">
        <f>ROUND(I905*H905,2)</f>
        <v>0</v>
      </c>
      <c r="BL905" s="2056" t="s">
        <v>2894</v>
      </c>
      <c r="BM905" s="2193" t="s">
        <v>5266</v>
      </c>
    </row>
    <row r="906" spans="2:65" s="2070" customFormat="1" ht="21.75" customHeight="1">
      <c r="B906" s="2164"/>
      <c r="C906" s="4614" t="s">
        <v>5777</v>
      </c>
      <c r="D906" s="4614" t="s">
        <v>135</v>
      </c>
      <c r="E906" s="4615" t="s">
        <v>5267</v>
      </c>
      <c r="F906" s="4616" t="s">
        <v>5268</v>
      </c>
      <c r="G906" s="4617" t="s">
        <v>611</v>
      </c>
      <c r="H906" s="4618">
        <v>3</v>
      </c>
      <c r="I906" s="4619"/>
      <c r="J906" s="4619">
        <f>ROUND(I906*H906,2)</f>
        <v>0</v>
      </c>
      <c r="K906" s="4616" t="s">
        <v>142</v>
      </c>
      <c r="L906" s="2223"/>
      <c r="M906" s="2224" t="s">
        <v>3146</v>
      </c>
      <c r="N906" s="2225" t="s">
        <v>3181</v>
      </c>
      <c r="O906" s="2191">
        <v>0</v>
      </c>
      <c r="P906" s="2191">
        <f>O906*H906</f>
        <v>0</v>
      </c>
      <c r="Q906" s="2191">
        <v>7.4999999999999997E-3</v>
      </c>
      <c r="R906" s="2191">
        <f>Q906*H906</f>
        <v>2.2499999999999999E-2</v>
      </c>
      <c r="S906" s="2191">
        <v>0</v>
      </c>
      <c r="T906" s="2192">
        <f>S906*H906</f>
        <v>0</v>
      </c>
      <c r="AR906" s="2193" t="s">
        <v>3389</v>
      </c>
      <c r="AT906" s="2193" t="s">
        <v>135</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5269</v>
      </c>
    </row>
    <row r="907" spans="2:65" s="2209" customFormat="1">
      <c r="B907" s="2210"/>
      <c r="D907" s="2197" t="s">
        <v>3303</v>
      </c>
      <c r="E907" s="2211" t="s">
        <v>3146</v>
      </c>
      <c r="F907" s="2212" t="s">
        <v>5270</v>
      </c>
      <c r="H907" s="2213">
        <v>3</v>
      </c>
      <c r="L907" s="2210"/>
      <c r="M907" s="2214"/>
      <c r="T907" s="2215"/>
      <c r="AT907" s="2211" t="s">
        <v>3303</v>
      </c>
      <c r="AU907" s="2211" t="s">
        <v>134</v>
      </c>
      <c r="AV907" s="2209" t="s">
        <v>134</v>
      </c>
      <c r="AW907" s="2209" t="s">
        <v>3171</v>
      </c>
      <c r="AX907" s="2209" t="s">
        <v>133</v>
      </c>
      <c r="AY907" s="2211" t="s">
        <v>3285</v>
      </c>
    </row>
    <row r="908" spans="2:65" s="2070" customFormat="1" ht="24.2" customHeight="1">
      <c r="B908" s="2164"/>
      <c r="C908" s="4608" t="s">
        <v>5783</v>
      </c>
      <c r="D908" s="4608" t="s">
        <v>3286</v>
      </c>
      <c r="E908" s="4609" t="s">
        <v>5271</v>
      </c>
      <c r="F908" s="4610" t="s">
        <v>5272</v>
      </c>
      <c r="G908" s="4611" t="s">
        <v>141</v>
      </c>
      <c r="H908" s="4612">
        <v>2.06</v>
      </c>
      <c r="I908" s="4613"/>
      <c r="J908" s="4613">
        <f>ROUND(I908*H908,2)</f>
        <v>0</v>
      </c>
      <c r="K908" s="4610" t="s">
        <v>142</v>
      </c>
      <c r="L908" s="2071"/>
      <c r="M908" s="2190" t="s">
        <v>3146</v>
      </c>
      <c r="N908" s="2163" t="s">
        <v>3181</v>
      </c>
      <c r="O908" s="2191">
        <v>0.86399999999999999</v>
      </c>
      <c r="P908" s="2191">
        <f>O908*H908</f>
        <v>1.7798400000000001</v>
      </c>
      <c r="Q908" s="2191">
        <v>6.0000000000000002E-5</v>
      </c>
      <c r="R908" s="2191">
        <f>Q908*H908</f>
        <v>1.236E-4</v>
      </c>
      <c r="S908" s="2191">
        <v>0</v>
      </c>
      <c r="T908" s="2192">
        <f>S908*H908</f>
        <v>0</v>
      </c>
      <c r="AR908" s="2193" t="s">
        <v>2894</v>
      </c>
      <c r="AT908" s="2193" t="s">
        <v>3286</v>
      </c>
      <c r="AU908" s="2193" t="s">
        <v>134</v>
      </c>
      <c r="AY908" s="2056" t="s">
        <v>3285</v>
      </c>
      <c r="BE908" s="2194">
        <f>IF(N908="základní",J908,0)</f>
        <v>0</v>
      </c>
      <c r="BF908" s="2194">
        <f>IF(N908="snížená",J908,0)</f>
        <v>0</v>
      </c>
      <c r="BG908" s="2194">
        <f>IF(N908="zákl. přenesená",J908,0)</f>
        <v>0</v>
      </c>
      <c r="BH908" s="2194">
        <f>IF(N908="sníž. přenesená",J908,0)</f>
        <v>0</v>
      </c>
      <c r="BI908" s="2194">
        <f>IF(N908="nulová",J908,0)</f>
        <v>0</v>
      </c>
      <c r="BJ908" s="2056" t="s">
        <v>134</v>
      </c>
      <c r="BK908" s="2194">
        <f>ROUND(I908*H908,2)</f>
        <v>0</v>
      </c>
      <c r="BL908" s="2056" t="s">
        <v>2894</v>
      </c>
      <c r="BM908" s="2193" t="s">
        <v>5273</v>
      </c>
    </row>
    <row r="909" spans="2:65" s="2195" customFormat="1">
      <c r="B909" s="2196"/>
      <c r="D909" s="2197" t="s">
        <v>3303</v>
      </c>
      <c r="E909" s="2198" t="s">
        <v>3146</v>
      </c>
      <c r="F909" s="2199" t="s">
        <v>5135</v>
      </c>
      <c r="H909" s="2198" t="s">
        <v>3146</v>
      </c>
      <c r="L909" s="2196"/>
      <c r="M909" s="2200"/>
      <c r="T909" s="2201"/>
      <c r="AT909" s="2198" t="s">
        <v>3303</v>
      </c>
      <c r="AU909" s="2198" t="s">
        <v>134</v>
      </c>
      <c r="AV909" s="2195" t="s">
        <v>133</v>
      </c>
      <c r="AW909" s="2195" t="s">
        <v>3171</v>
      </c>
      <c r="AX909" s="2195" t="s">
        <v>3213</v>
      </c>
      <c r="AY909" s="2198" t="s">
        <v>3285</v>
      </c>
    </row>
    <row r="910" spans="2:65" s="2209" customFormat="1">
      <c r="B910" s="2210"/>
      <c r="D910" s="2197" t="s">
        <v>3303</v>
      </c>
      <c r="E910" s="2211" t="s">
        <v>3146</v>
      </c>
      <c r="F910" s="2212" t="s">
        <v>5137</v>
      </c>
      <c r="H910" s="2213">
        <v>2.06</v>
      </c>
      <c r="L910" s="2210"/>
      <c r="M910" s="2214"/>
      <c r="T910" s="2215"/>
      <c r="AT910" s="2211" t="s">
        <v>3303</v>
      </c>
      <c r="AU910" s="2211" t="s">
        <v>134</v>
      </c>
      <c r="AV910" s="2209" t="s">
        <v>134</v>
      </c>
      <c r="AW910" s="2209" t="s">
        <v>3171</v>
      </c>
      <c r="AX910" s="2209" t="s">
        <v>133</v>
      </c>
      <c r="AY910" s="2211" t="s">
        <v>3285</v>
      </c>
    </row>
    <row r="911" spans="2:65" s="2070" customFormat="1" ht="33" customHeight="1">
      <c r="B911" s="2164"/>
      <c r="C911" s="4614" t="s">
        <v>5802</v>
      </c>
      <c r="D911" s="4614" t="s">
        <v>135</v>
      </c>
      <c r="E911" s="4615" t="s">
        <v>5274</v>
      </c>
      <c r="F911" s="4616" t="s">
        <v>5275</v>
      </c>
      <c r="G911" s="4617" t="s">
        <v>141</v>
      </c>
      <c r="H911" s="4618">
        <v>2.266</v>
      </c>
      <c r="I911" s="4619"/>
      <c r="J911" s="4619">
        <f>ROUND(I911*H911,2)</f>
        <v>0</v>
      </c>
      <c r="K911" s="4616" t="s">
        <v>3146</v>
      </c>
      <c r="L911" s="2223"/>
      <c r="M911" s="2224" t="s">
        <v>3146</v>
      </c>
      <c r="N911" s="2225" t="s">
        <v>3181</v>
      </c>
      <c r="O911" s="2191">
        <v>0</v>
      </c>
      <c r="P911" s="2191">
        <f>O911*H911</f>
        <v>0</v>
      </c>
      <c r="Q911" s="2191">
        <v>0</v>
      </c>
      <c r="R911" s="2191">
        <f>Q911*H911</f>
        <v>0</v>
      </c>
      <c r="S911" s="2191">
        <v>0</v>
      </c>
      <c r="T911" s="2192">
        <f>S911*H911</f>
        <v>0</v>
      </c>
      <c r="AR911" s="2193" t="s">
        <v>3389</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5276</v>
      </c>
    </row>
    <row r="912" spans="2:65" s="2209" customFormat="1">
      <c r="B912" s="2210"/>
      <c r="D912" s="2197" t="s">
        <v>3303</v>
      </c>
      <c r="F912" s="2212" t="s">
        <v>5277</v>
      </c>
      <c r="H912" s="2213">
        <v>2.266</v>
      </c>
      <c r="L912" s="2210"/>
      <c r="M912" s="2214"/>
      <c r="T912" s="2215"/>
      <c r="AT912" s="2211" t="s">
        <v>3303</v>
      </c>
      <c r="AU912" s="2211" t="s">
        <v>134</v>
      </c>
      <c r="AV912" s="2209" t="s">
        <v>134</v>
      </c>
      <c r="AW912" s="2209" t="s">
        <v>3148</v>
      </c>
      <c r="AX912" s="2209" t="s">
        <v>133</v>
      </c>
      <c r="AY912" s="2211" t="s">
        <v>3285</v>
      </c>
    </row>
    <row r="913" spans="2:65" s="2070" customFormat="1" ht="24.2" customHeight="1">
      <c r="B913" s="2164"/>
      <c r="C913" s="4608" t="s">
        <v>5811</v>
      </c>
      <c r="D913" s="4608" t="s">
        <v>3286</v>
      </c>
      <c r="E913" s="4609" t="s">
        <v>5278</v>
      </c>
      <c r="F913" s="4610" t="s">
        <v>5279</v>
      </c>
      <c r="G913" s="4611" t="s">
        <v>141</v>
      </c>
      <c r="H913" s="4612">
        <v>49.5</v>
      </c>
      <c r="I913" s="4613"/>
      <c r="J913" s="4613">
        <f>ROUND(I913*H913,2)</f>
        <v>0</v>
      </c>
      <c r="K913" s="4610" t="s">
        <v>142</v>
      </c>
      <c r="L913" s="2071"/>
      <c r="M913" s="2190" t="s">
        <v>3146</v>
      </c>
      <c r="N913" s="2163" t="s">
        <v>3181</v>
      </c>
      <c r="O913" s="2191">
        <v>0.42699999999999999</v>
      </c>
      <c r="P913" s="2191">
        <f>O913*H913</f>
        <v>21.136499999999998</v>
      </c>
      <c r="Q913" s="2191">
        <v>0</v>
      </c>
      <c r="R913" s="2191">
        <f>Q913*H913</f>
        <v>0</v>
      </c>
      <c r="S913" s="2191">
        <v>0</v>
      </c>
      <c r="T913" s="2192">
        <f>S913*H913</f>
        <v>0</v>
      </c>
      <c r="AR913" s="2193" t="s">
        <v>2894</v>
      </c>
      <c r="AT913" s="2193" t="s">
        <v>3286</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5280</v>
      </c>
    </row>
    <row r="914" spans="2:65" s="2209" customFormat="1">
      <c r="B914" s="2210"/>
      <c r="D914" s="2197" t="s">
        <v>3303</v>
      </c>
      <c r="E914" s="2211" t="s">
        <v>3146</v>
      </c>
      <c r="F914" s="2212" t="s">
        <v>5281</v>
      </c>
      <c r="H914" s="2213">
        <v>49.5</v>
      </c>
      <c r="L914" s="2210"/>
      <c r="M914" s="2214"/>
      <c r="T914" s="2215"/>
      <c r="AT914" s="2211" t="s">
        <v>3303</v>
      </c>
      <c r="AU914" s="2211" t="s">
        <v>134</v>
      </c>
      <c r="AV914" s="2209" t="s">
        <v>134</v>
      </c>
      <c r="AW914" s="2209" t="s">
        <v>3171</v>
      </c>
      <c r="AX914" s="2209" t="s">
        <v>133</v>
      </c>
      <c r="AY914" s="2211" t="s">
        <v>3285</v>
      </c>
    </row>
    <row r="915" spans="2:65" s="2070" customFormat="1" ht="16.5" customHeight="1">
      <c r="B915" s="2164"/>
      <c r="C915" s="4614" t="s">
        <v>5190</v>
      </c>
      <c r="D915" s="4614" t="s">
        <v>135</v>
      </c>
      <c r="E915" s="4615" t="s">
        <v>5282</v>
      </c>
      <c r="F915" s="4616" t="s">
        <v>5283</v>
      </c>
      <c r="G915" s="4617" t="s">
        <v>141</v>
      </c>
      <c r="H915" s="4618">
        <v>56.924999999999997</v>
      </c>
      <c r="I915" s="4619"/>
      <c r="J915" s="4619">
        <f>ROUND(I915*H915,2)</f>
        <v>0</v>
      </c>
      <c r="K915" s="4616" t="s">
        <v>3146</v>
      </c>
      <c r="L915" s="2223"/>
      <c r="M915" s="2224" t="s">
        <v>3146</v>
      </c>
      <c r="N915" s="2225" t="s">
        <v>3181</v>
      </c>
      <c r="O915" s="2191">
        <v>0</v>
      </c>
      <c r="P915" s="2191">
        <f>O915*H915</f>
        <v>0</v>
      </c>
      <c r="Q915" s="2191">
        <v>2.5000000000000001E-3</v>
      </c>
      <c r="R915" s="2191">
        <f>Q915*H915</f>
        <v>0.14231250000000001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5284</v>
      </c>
    </row>
    <row r="916" spans="2:65" s="2209" customFormat="1">
      <c r="B916" s="2210"/>
      <c r="D916" s="2197" t="s">
        <v>3303</v>
      </c>
      <c r="F916" s="2212" t="s">
        <v>5285</v>
      </c>
      <c r="H916" s="2213">
        <v>56.924999999999997</v>
      </c>
      <c r="L916" s="2210"/>
      <c r="M916" s="2214"/>
      <c r="T916" s="2215"/>
      <c r="AT916" s="2211" t="s">
        <v>3303</v>
      </c>
      <c r="AU916" s="2211" t="s">
        <v>134</v>
      </c>
      <c r="AV916" s="2209" t="s">
        <v>134</v>
      </c>
      <c r="AW916" s="2209" t="s">
        <v>3148</v>
      </c>
      <c r="AX916" s="2209" t="s">
        <v>133</v>
      </c>
      <c r="AY916" s="2211" t="s">
        <v>3285</v>
      </c>
    </row>
    <row r="917" spans="2:65" s="2070" customFormat="1" ht="16.5" customHeight="1">
      <c r="B917" s="2164"/>
      <c r="C917" s="4608" t="s">
        <v>5198</v>
      </c>
      <c r="D917" s="4608" t="s">
        <v>3286</v>
      </c>
      <c r="E917" s="4609" t="s">
        <v>5286</v>
      </c>
      <c r="F917" s="4610" t="s">
        <v>5287</v>
      </c>
      <c r="G917" s="4611" t="s">
        <v>141</v>
      </c>
      <c r="H917" s="4612">
        <v>222</v>
      </c>
      <c r="I917" s="4613"/>
      <c r="J917" s="4613">
        <f>ROUND(I917*H917,2)</f>
        <v>0</v>
      </c>
      <c r="K917" s="4610" t="s">
        <v>3146</v>
      </c>
      <c r="L917" s="2071"/>
      <c r="M917" s="2190" t="s">
        <v>3146</v>
      </c>
      <c r="N917" s="2163" t="s">
        <v>3181</v>
      </c>
      <c r="O917" s="2191">
        <v>0.42699999999999999</v>
      </c>
      <c r="P917" s="2191">
        <f>O917*H917</f>
        <v>94.793999999999997</v>
      </c>
      <c r="Q917" s="2191">
        <v>0</v>
      </c>
      <c r="R917" s="2191">
        <f>Q917*H917</f>
        <v>0</v>
      </c>
      <c r="S917" s="2191">
        <v>0</v>
      </c>
      <c r="T917" s="2192">
        <f>S917*H917</f>
        <v>0</v>
      </c>
      <c r="AR917" s="2193" t="s">
        <v>2894</v>
      </c>
      <c r="AT917" s="2193" t="s">
        <v>3286</v>
      </c>
      <c r="AU917" s="2193" t="s">
        <v>134</v>
      </c>
      <c r="AY917" s="2056" t="s">
        <v>3285</v>
      </c>
      <c r="BE917" s="2194">
        <f>IF(N917="základní",J917,0)</f>
        <v>0</v>
      </c>
      <c r="BF917" s="2194">
        <f>IF(N917="snížená",J917,0)</f>
        <v>0</v>
      </c>
      <c r="BG917" s="2194">
        <f>IF(N917="zákl. přenesená",J917,0)</f>
        <v>0</v>
      </c>
      <c r="BH917" s="2194">
        <f>IF(N917="sníž. přenesená",J917,0)</f>
        <v>0</v>
      </c>
      <c r="BI917" s="2194">
        <f>IF(N917="nulová",J917,0)</f>
        <v>0</v>
      </c>
      <c r="BJ917" s="2056" t="s">
        <v>134</v>
      </c>
      <c r="BK917" s="2194">
        <f>ROUND(I917*H917,2)</f>
        <v>0</v>
      </c>
      <c r="BL917" s="2056" t="s">
        <v>2894</v>
      </c>
      <c r="BM917" s="2193" t="s">
        <v>5288</v>
      </c>
    </row>
    <row r="918" spans="2:65" s="2195" customFormat="1">
      <c r="B918" s="2196"/>
      <c r="D918" s="2197" t="s">
        <v>3303</v>
      </c>
      <c r="E918" s="2198" t="s">
        <v>3146</v>
      </c>
      <c r="F918" s="2199" t="s">
        <v>5289</v>
      </c>
      <c r="H918" s="2198" t="s">
        <v>3146</v>
      </c>
      <c r="L918" s="2196"/>
      <c r="M918" s="2200"/>
      <c r="T918" s="2201"/>
      <c r="AT918" s="2198" t="s">
        <v>3303</v>
      </c>
      <c r="AU918" s="2198" t="s">
        <v>134</v>
      </c>
      <c r="AV918" s="2195" t="s">
        <v>133</v>
      </c>
      <c r="AW918" s="2195" t="s">
        <v>3171</v>
      </c>
      <c r="AX918" s="2195" t="s">
        <v>3213</v>
      </c>
      <c r="AY918" s="2198" t="s">
        <v>3285</v>
      </c>
    </row>
    <row r="919" spans="2:65" s="2209" customFormat="1">
      <c r="B919" s="2210"/>
      <c r="D919" s="2197" t="s">
        <v>3303</v>
      </c>
      <c r="E919" s="2211" t="s">
        <v>3146</v>
      </c>
      <c r="F919" s="2212" t="s">
        <v>5290</v>
      </c>
      <c r="H919" s="2213">
        <v>222</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222</v>
      </c>
      <c r="L920" s="2217"/>
      <c r="M920" s="2221"/>
      <c r="T920" s="2222"/>
      <c r="AT920" s="2218" t="s">
        <v>3303</v>
      </c>
      <c r="AU920" s="2218" t="s">
        <v>134</v>
      </c>
      <c r="AV920" s="2216" t="s">
        <v>856</v>
      </c>
      <c r="AW920" s="2216" t="s">
        <v>3171</v>
      </c>
      <c r="AX920" s="2216" t="s">
        <v>133</v>
      </c>
      <c r="AY920" s="2218" t="s">
        <v>3285</v>
      </c>
    </row>
    <row r="921" spans="2:65" s="2070" customFormat="1" ht="24.2" customHeight="1">
      <c r="B921" s="2164"/>
      <c r="C921" s="4614" t="s">
        <v>5202</v>
      </c>
      <c r="D921" s="4614" t="s">
        <v>135</v>
      </c>
      <c r="E921" s="4615" t="s">
        <v>5291</v>
      </c>
      <c r="F921" s="4616" t="s">
        <v>5292</v>
      </c>
      <c r="G921" s="4617" t="s">
        <v>141</v>
      </c>
      <c r="H921" s="4618">
        <v>255.3</v>
      </c>
      <c r="I921" s="4619"/>
      <c r="J921" s="4619">
        <f>ROUND(I921*H921,2)</f>
        <v>0</v>
      </c>
      <c r="K921" s="4616" t="s">
        <v>3146</v>
      </c>
      <c r="L921" s="2223"/>
      <c r="M921" s="2224" t="s">
        <v>3146</v>
      </c>
      <c r="N921" s="2225" t="s">
        <v>3181</v>
      </c>
      <c r="O921" s="2191">
        <v>0</v>
      </c>
      <c r="P921" s="2191">
        <f>O921*H921</f>
        <v>0</v>
      </c>
      <c r="Q921" s="2191">
        <v>3.7000000000000002E-3</v>
      </c>
      <c r="R921" s="2191">
        <f>Q921*H921</f>
        <v>0.94461000000000006</v>
      </c>
      <c r="S921" s="2191">
        <v>0</v>
      </c>
      <c r="T921" s="2192">
        <f>S921*H921</f>
        <v>0</v>
      </c>
      <c r="AR921" s="2193" t="s">
        <v>3389</v>
      </c>
      <c r="AT921" s="2193" t="s">
        <v>135</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5293</v>
      </c>
    </row>
    <row r="922" spans="2:65" s="2209" customFormat="1">
      <c r="B922" s="2210"/>
      <c r="D922" s="2197" t="s">
        <v>3303</v>
      </c>
      <c r="F922" s="2212" t="s">
        <v>5294</v>
      </c>
      <c r="H922" s="2213">
        <v>255.3</v>
      </c>
      <c r="L922" s="2210"/>
      <c r="M922" s="2214"/>
      <c r="T922" s="2215"/>
      <c r="AT922" s="2211" t="s">
        <v>3303</v>
      </c>
      <c r="AU922" s="2211" t="s">
        <v>134</v>
      </c>
      <c r="AV922" s="2209" t="s">
        <v>134</v>
      </c>
      <c r="AW922" s="2209" t="s">
        <v>3148</v>
      </c>
      <c r="AX922" s="2209" t="s">
        <v>133</v>
      </c>
      <c r="AY922" s="2211" t="s">
        <v>3285</v>
      </c>
    </row>
    <row r="923" spans="2:65" s="2070" customFormat="1" ht="21.75" customHeight="1">
      <c r="B923" s="2164"/>
      <c r="C923" s="4608" t="s">
        <v>5206</v>
      </c>
      <c r="D923" s="4608" t="s">
        <v>3286</v>
      </c>
      <c r="E923" s="4609" t="s">
        <v>5295</v>
      </c>
      <c r="F923" s="4610" t="s">
        <v>5296</v>
      </c>
      <c r="G923" s="4611" t="s">
        <v>141</v>
      </c>
      <c r="H923" s="4612">
        <v>18.3</v>
      </c>
      <c r="I923" s="4613"/>
      <c r="J923" s="4613">
        <f>ROUND(I923*H923,2)</f>
        <v>0</v>
      </c>
      <c r="K923" s="4610" t="s">
        <v>142</v>
      </c>
      <c r="L923" s="2071"/>
      <c r="M923" s="2190" t="s">
        <v>3146</v>
      </c>
      <c r="N923" s="2163" t="s">
        <v>3181</v>
      </c>
      <c r="O923" s="2191">
        <v>0.82</v>
      </c>
      <c r="P923" s="2191">
        <f>O923*H923</f>
        <v>15.006</v>
      </c>
      <c r="Q923" s="2191">
        <v>2.0000000000000001E-4</v>
      </c>
      <c r="R923" s="2191">
        <f>Q923*H923</f>
        <v>3.6600000000000005E-3</v>
      </c>
      <c r="S923" s="2191">
        <v>0</v>
      </c>
      <c r="T923" s="2192">
        <f>S923*H923</f>
        <v>0</v>
      </c>
      <c r="AR923" s="2193" t="s">
        <v>2894</v>
      </c>
      <c r="AT923" s="2193" t="s">
        <v>3286</v>
      </c>
      <c r="AU923" s="2193" t="s">
        <v>134</v>
      </c>
      <c r="AY923" s="2056" t="s">
        <v>3285</v>
      </c>
      <c r="BE923" s="2194">
        <f>IF(N923="základní",J923,0)</f>
        <v>0</v>
      </c>
      <c r="BF923" s="2194">
        <f>IF(N923="snížená",J923,0)</f>
        <v>0</v>
      </c>
      <c r="BG923" s="2194">
        <f>IF(N923="zákl. přenesená",J923,0)</f>
        <v>0</v>
      </c>
      <c r="BH923" s="2194">
        <f>IF(N923="sníž. přenesená",J923,0)</f>
        <v>0</v>
      </c>
      <c r="BI923" s="2194">
        <f>IF(N923="nulová",J923,0)</f>
        <v>0</v>
      </c>
      <c r="BJ923" s="2056" t="s">
        <v>134</v>
      </c>
      <c r="BK923" s="2194">
        <f>ROUND(I923*H923,2)</f>
        <v>0</v>
      </c>
      <c r="BL923" s="2056" t="s">
        <v>2894</v>
      </c>
      <c r="BM923" s="2193" t="s">
        <v>5297</v>
      </c>
    </row>
    <row r="924" spans="2:65" s="2195" customFormat="1">
      <c r="B924" s="2196"/>
      <c r="D924" s="2197" t="s">
        <v>3303</v>
      </c>
      <c r="E924" s="2198" t="s">
        <v>3146</v>
      </c>
      <c r="F924" s="2199" t="s">
        <v>5298</v>
      </c>
      <c r="H924" s="2198" t="s">
        <v>3146</v>
      </c>
      <c r="L924" s="2196"/>
      <c r="M924" s="2200"/>
      <c r="T924" s="2201"/>
      <c r="AT924" s="2198" t="s">
        <v>3303</v>
      </c>
      <c r="AU924" s="2198" t="s">
        <v>134</v>
      </c>
      <c r="AV924" s="2195" t="s">
        <v>133</v>
      </c>
      <c r="AW924" s="2195" t="s">
        <v>3171</v>
      </c>
      <c r="AX924" s="2195" t="s">
        <v>3213</v>
      </c>
      <c r="AY924" s="2198" t="s">
        <v>3285</v>
      </c>
    </row>
    <row r="925" spans="2:65" s="2209" customFormat="1">
      <c r="B925" s="2210"/>
      <c r="D925" s="2197" t="s">
        <v>3303</v>
      </c>
      <c r="E925" s="2211" t="s">
        <v>3146</v>
      </c>
      <c r="F925" s="2212" t="s">
        <v>5299</v>
      </c>
      <c r="H925" s="2213">
        <v>13.9</v>
      </c>
      <c r="L925" s="2210"/>
      <c r="M925" s="2214"/>
      <c r="T925" s="2215"/>
      <c r="AT925" s="2211" t="s">
        <v>3303</v>
      </c>
      <c r="AU925" s="2211" t="s">
        <v>134</v>
      </c>
      <c r="AV925" s="2209" t="s">
        <v>134</v>
      </c>
      <c r="AW925" s="2209" t="s">
        <v>3171</v>
      </c>
      <c r="AX925" s="2209" t="s">
        <v>3213</v>
      </c>
      <c r="AY925" s="2211" t="s">
        <v>3285</v>
      </c>
    </row>
    <row r="926" spans="2:65" s="2202" customFormat="1">
      <c r="B926" s="2203"/>
      <c r="D926" s="2197" t="s">
        <v>3303</v>
      </c>
      <c r="E926" s="2204" t="s">
        <v>3146</v>
      </c>
      <c r="F926" s="2205" t="s">
        <v>3305</v>
      </c>
      <c r="H926" s="2206">
        <v>13.9</v>
      </c>
      <c r="L926" s="2203"/>
      <c r="M926" s="2207"/>
      <c r="T926" s="2208"/>
      <c r="AT926" s="2204" t="s">
        <v>3303</v>
      </c>
      <c r="AU926" s="2204" t="s">
        <v>134</v>
      </c>
      <c r="AV926" s="2202" t="s">
        <v>854</v>
      </c>
      <c r="AW926" s="2202" t="s">
        <v>3171</v>
      </c>
      <c r="AX926" s="2202" t="s">
        <v>3213</v>
      </c>
      <c r="AY926" s="2204" t="s">
        <v>3285</v>
      </c>
    </row>
    <row r="927" spans="2:65" s="2195" customFormat="1">
      <c r="B927" s="2196"/>
      <c r="D927" s="2197" t="s">
        <v>3303</v>
      </c>
      <c r="E927" s="2198" t="s">
        <v>3146</v>
      </c>
      <c r="F927" s="2199" t="s">
        <v>5300</v>
      </c>
      <c r="H927" s="2198" t="s">
        <v>3146</v>
      </c>
      <c r="L927" s="2196"/>
      <c r="M927" s="2200"/>
      <c r="T927" s="2201"/>
      <c r="AT927" s="2198" t="s">
        <v>3303</v>
      </c>
      <c r="AU927" s="2198" t="s">
        <v>134</v>
      </c>
      <c r="AV927" s="2195" t="s">
        <v>133</v>
      </c>
      <c r="AW927" s="2195" t="s">
        <v>3171</v>
      </c>
      <c r="AX927" s="2195" t="s">
        <v>3213</v>
      </c>
      <c r="AY927" s="2198" t="s">
        <v>3285</v>
      </c>
    </row>
    <row r="928" spans="2:65" s="2209" customFormat="1">
      <c r="B928" s="2210"/>
      <c r="D928" s="2197" t="s">
        <v>3303</v>
      </c>
      <c r="E928" s="2211" t="s">
        <v>3146</v>
      </c>
      <c r="F928" s="2212" t="s">
        <v>5301</v>
      </c>
      <c r="H928" s="2213">
        <v>4.4000000000000004</v>
      </c>
      <c r="L928" s="2210"/>
      <c r="M928" s="2214"/>
      <c r="T928" s="2215"/>
      <c r="AT928" s="2211" t="s">
        <v>3303</v>
      </c>
      <c r="AU928" s="2211" t="s">
        <v>134</v>
      </c>
      <c r="AV928" s="2209" t="s">
        <v>134</v>
      </c>
      <c r="AW928" s="2209" t="s">
        <v>3171</v>
      </c>
      <c r="AX928" s="2209" t="s">
        <v>3213</v>
      </c>
      <c r="AY928" s="2211" t="s">
        <v>3285</v>
      </c>
    </row>
    <row r="929" spans="2:65" s="2202" customFormat="1">
      <c r="B929" s="2203"/>
      <c r="D929" s="2197" t="s">
        <v>3303</v>
      </c>
      <c r="E929" s="2204" t="s">
        <v>3146</v>
      </c>
      <c r="F929" s="2205" t="s">
        <v>3305</v>
      </c>
      <c r="H929" s="2206">
        <v>4.4000000000000004</v>
      </c>
      <c r="L929" s="2203"/>
      <c r="M929" s="2207"/>
      <c r="T929" s="2208"/>
      <c r="AT929" s="2204" t="s">
        <v>3303</v>
      </c>
      <c r="AU929" s="2204" t="s">
        <v>134</v>
      </c>
      <c r="AV929" s="2202" t="s">
        <v>854</v>
      </c>
      <c r="AW929" s="2202" t="s">
        <v>3171</v>
      </c>
      <c r="AX929" s="2202" t="s">
        <v>3213</v>
      </c>
      <c r="AY929" s="2204" t="s">
        <v>3285</v>
      </c>
    </row>
    <row r="930" spans="2:65" s="2216" customFormat="1">
      <c r="B930" s="2217"/>
      <c r="D930" s="2197" t="s">
        <v>3303</v>
      </c>
      <c r="E930" s="2218" t="s">
        <v>3146</v>
      </c>
      <c r="F930" s="2219" t="s">
        <v>3306</v>
      </c>
      <c r="H930" s="2220">
        <v>18.3</v>
      </c>
      <c r="L930" s="2217"/>
      <c r="M930" s="2221"/>
      <c r="T930" s="2222"/>
      <c r="AT930" s="2218" t="s">
        <v>3303</v>
      </c>
      <c r="AU930" s="2218" t="s">
        <v>134</v>
      </c>
      <c r="AV930" s="2216" t="s">
        <v>856</v>
      </c>
      <c r="AW930" s="2216" t="s">
        <v>3171</v>
      </c>
      <c r="AX930" s="2216" t="s">
        <v>133</v>
      </c>
      <c r="AY930" s="2218" t="s">
        <v>3285</v>
      </c>
    </row>
    <row r="931" spans="2:65" s="2070" customFormat="1" ht="33" customHeight="1">
      <c r="B931" s="2164"/>
      <c r="C931" s="4614" t="s">
        <v>5210</v>
      </c>
      <c r="D931" s="4614" t="s">
        <v>135</v>
      </c>
      <c r="E931" s="4615" t="s">
        <v>5302</v>
      </c>
      <c r="F931" s="4616" t="s">
        <v>5303</v>
      </c>
      <c r="G931" s="4617" t="s">
        <v>141</v>
      </c>
      <c r="H931" s="4618">
        <v>13.9</v>
      </c>
      <c r="I931" s="4619"/>
      <c r="J931" s="4619">
        <f>ROUND(I931*H931,2)</f>
        <v>0</v>
      </c>
      <c r="K931" s="4616" t="s">
        <v>3146</v>
      </c>
      <c r="L931" s="2223"/>
      <c r="M931" s="2224" t="s">
        <v>3146</v>
      </c>
      <c r="N931" s="2225" t="s">
        <v>3181</v>
      </c>
      <c r="O931" s="2191">
        <v>0</v>
      </c>
      <c r="P931" s="2191">
        <f>O931*H931</f>
        <v>0</v>
      </c>
      <c r="Q931" s="2191">
        <v>6.96E-3</v>
      </c>
      <c r="R931" s="2191">
        <f>Q931*H931</f>
        <v>9.6743999999999997E-2</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5304</v>
      </c>
    </row>
    <row r="932" spans="2:65" s="2070" customFormat="1" ht="24.2" customHeight="1">
      <c r="B932" s="2164"/>
      <c r="C932" s="4614" t="s">
        <v>5214</v>
      </c>
      <c r="D932" s="4614" t="s">
        <v>135</v>
      </c>
      <c r="E932" s="4615" t="s">
        <v>5305</v>
      </c>
      <c r="F932" s="4616" t="s">
        <v>5306</v>
      </c>
      <c r="G932" s="4617" t="s">
        <v>141</v>
      </c>
      <c r="H932" s="4618">
        <v>4.4000000000000004</v>
      </c>
      <c r="I932" s="4619"/>
      <c r="J932" s="4619">
        <f>ROUND(I932*H932,2)</f>
        <v>0</v>
      </c>
      <c r="K932" s="4616" t="s">
        <v>3146</v>
      </c>
      <c r="L932" s="2223"/>
      <c r="M932" s="2224" t="s">
        <v>3146</v>
      </c>
      <c r="N932" s="2225" t="s">
        <v>3181</v>
      </c>
      <c r="O932" s="2191">
        <v>0</v>
      </c>
      <c r="P932" s="2191">
        <f>O932*H932</f>
        <v>0</v>
      </c>
      <c r="Q932" s="2191">
        <v>0</v>
      </c>
      <c r="R932" s="2191">
        <f>Q932*H932</f>
        <v>0</v>
      </c>
      <c r="S932" s="2191">
        <v>0</v>
      </c>
      <c r="T932" s="2192">
        <f>S932*H932</f>
        <v>0</v>
      </c>
      <c r="AR932" s="2193" t="s">
        <v>3389</v>
      </c>
      <c r="AT932" s="2193" t="s">
        <v>135</v>
      </c>
      <c r="AU932" s="2193" t="s">
        <v>134</v>
      </c>
      <c r="AY932" s="2056" t="s">
        <v>3285</v>
      </c>
      <c r="BE932" s="2194">
        <f>IF(N932="základní",J932,0)</f>
        <v>0</v>
      </c>
      <c r="BF932" s="2194">
        <f>IF(N932="snížená",J932,0)</f>
        <v>0</v>
      </c>
      <c r="BG932" s="2194">
        <f>IF(N932="zákl. přenesená",J932,0)</f>
        <v>0</v>
      </c>
      <c r="BH932" s="2194">
        <f>IF(N932="sníž. přenesená",J932,0)</f>
        <v>0</v>
      </c>
      <c r="BI932" s="2194">
        <f>IF(N932="nulová",J932,0)</f>
        <v>0</v>
      </c>
      <c r="BJ932" s="2056" t="s">
        <v>134</v>
      </c>
      <c r="BK932" s="2194">
        <f>ROUND(I932*H932,2)</f>
        <v>0</v>
      </c>
      <c r="BL932" s="2056" t="s">
        <v>2894</v>
      </c>
      <c r="BM932" s="2193" t="s">
        <v>5307</v>
      </c>
    </row>
    <row r="933" spans="2:65" s="2195" customFormat="1">
      <c r="B933" s="2196"/>
      <c r="D933" s="2197" t="s">
        <v>3303</v>
      </c>
      <c r="E933" s="2198" t="s">
        <v>3146</v>
      </c>
      <c r="F933" s="2199" t="s">
        <v>5300</v>
      </c>
      <c r="H933" s="2198" t="s">
        <v>3146</v>
      </c>
      <c r="L933" s="2196"/>
      <c r="M933" s="2200"/>
      <c r="T933" s="2201"/>
      <c r="AT933" s="2198" t="s">
        <v>3303</v>
      </c>
      <c r="AU933" s="2198" t="s">
        <v>134</v>
      </c>
      <c r="AV933" s="2195" t="s">
        <v>133</v>
      </c>
      <c r="AW933" s="2195" t="s">
        <v>3171</v>
      </c>
      <c r="AX933" s="2195" t="s">
        <v>3213</v>
      </c>
      <c r="AY933" s="2198" t="s">
        <v>3285</v>
      </c>
    </row>
    <row r="934" spans="2:65" s="2209" customFormat="1">
      <c r="B934" s="2210"/>
      <c r="D934" s="2197" t="s">
        <v>3303</v>
      </c>
      <c r="E934" s="2211" t="s">
        <v>3146</v>
      </c>
      <c r="F934" s="2212" t="s">
        <v>5301</v>
      </c>
      <c r="H934" s="2213">
        <v>4.4000000000000004</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4.4000000000000004</v>
      </c>
      <c r="L935" s="2217"/>
      <c r="M935" s="2221"/>
      <c r="T935" s="2222"/>
      <c r="AT935" s="2218" t="s">
        <v>3303</v>
      </c>
      <c r="AU935" s="2218" t="s">
        <v>134</v>
      </c>
      <c r="AV935" s="2216" t="s">
        <v>856</v>
      </c>
      <c r="AW935" s="2216" t="s">
        <v>3171</v>
      </c>
      <c r="AX935" s="2216" t="s">
        <v>133</v>
      </c>
      <c r="AY935" s="2218" t="s">
        <v>3285</v>
      </c>
    </row>
    <row r="936" spans="2:65" s="2070" customFormat="1" ht="21.75" customHeight="1">
      <c r="B936" s="2164"/>
      <c r="C936" s="4608" t="s">
        <v>5218</v>
      </c>
      <c r="D936" s="4608" t="s">
        <v>3286</v>
      </c>
      <c r="E936" s="4609" t="s">
        <v>5308</v>
      </c>
      <c r="F936" s="4610" t="s">
        <v>5309</v>
      </c>
      <c r="G936" s="4611" t="s">
        <v>141</v>
      </c>
      <c r="H936" s="4612">
        <v>134.1</v>
      </c>
      <c r="I936" s="4613"/>
      <c r="J936" s="4613">
        <f>ROUND(I936*H936,2)</f>
        <v>0</v>
      </c>
      <c r="K936" s="4610" t="s">
        <v>142</v>
      </c>
      <c r="L936" s="2071"/>
      <c r="M936" s="2190" t="s">
        <v>3146</v>
      </c>
      <c r="N936" s="2163" t="s">
        <v>3181</v>
      </c>
      <c r="O936" s="2191">
        <v>0.56000000000000005</v>
      </c>
      <c r="P936" s="2191">
        <f>O936*H936</f>
        <v>75.096000000000004</v>
      </c>
      <c r="Q936" s="2191">
        <v>2.3000000000000001E-4</v>
      </c>
      <c r="R936" s="2191">
        <f>Q936*H936</f>
        <v>3.0842999999999999E-2</v>
      </c>
      <c r="S936" s="2191">
        <v>0</v>
      </c>
      <c r="T936" s="2192">
        <f>S936*H936</f>
        <v>0</v>
      </c>
      <c r="AR936" s="2193" t="s">
        <v>2894</v>
      </c>
      <c r="AT936" s="2193" t="s">
        <v>3286</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5310</v>
      </c>
    </row>
    <row r="937" spans="2:65" s="2195" customFormat="1">
      <c r="B937" s="2196"/>
      <c r="D937" s="2197" t="s">
        <v>3303</v>
      </c>
      <c r="E937" s="2198" t="s">
        <v>3146</v>
      </c>
      <c r="F937" s="2199" t="s">
        <v>5311</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5312</v>
      </c>
      <c r="H938" s="2213">
        <v>36</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5313</v>
      </c>
      <c r="H939" s="2213">
        <v>1</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5314</v>
      </c>
      <c r="H940" s="2213">
        <v>2</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5315</v>
      </c>
      <c r="H941" s="2213">
        <v>4</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5316</v>
      </c>
      <c r="H942" s="2213">
        <v>30</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5317</v>
      </c>
      <c r="H943" s="2213">
        <v>1.2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5318</v>
      </c>
      <c r="H944" s="2213">
        <v>6</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5314</v>
      </c>
      <c r="H945" s="2213">
        <v>2</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5319</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5320</v>
      </c>
      <c r="H947" s="2213">
        <v>10</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5314</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5321</v>
      </c>
      <c r="H949" s="2213">
        <v>16</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5314</v>
      </c>
      <c r="H950" s="2213">
        <v>2</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5322</v>
      </c>
      <c r="H951" s="2213">
        <v>2.4</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5318</v>
      </c>
      <c r="H952" s="2213">
        <v>6</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5319</v>
      </c>
      <c r="H953" s="2213">
        <v>2</v>
      </c>
      <c r="L953" s="2210"/>
      <c r="M953" s="2214"/>
      <c r="T953" s="2215"/>
      <c r="AT953" s="2211" t="s">
        <v>3303</v>
      </c>
      <c r="AU953" s="2211" t="s">
        <v>134</v>
      </c>
      <c r="AV953" s="2209" t="s">
        <v>134</v>
      </c>
      <c r="AW953" s="2209" t="s">
        <v>3171</v>
      </c>
      <c r="AX953" s="2209" t="s">
        <v>3213</v>
      </c>
      <c r="AY953" s="2211" t="s">
        <v>3285</v>
      </c>
    </row>
    <row r="954" spans="2:65" s="2209" customFormat="1">
      <c r="B954" s="2210"/>
      <c r="D954" s="2197" t="s">
        <v>3303</v>
      </c>
      <c r="E954" s="2211" t="s">
        <v>3146</v>
      </c>
      <c r="F954" s="2212" t="s">
        <v>5323</v>
      </c>
      <c r="H954" s="2213">
        <v>7.5</v>
      </c>
      <c r="L954" s="2210"/>
      <c r="M954" s="2214"/>
      <c r="T954" s="2215"/>
      <c r="AT954" s="2211" t="s">
        <v>3303</v>
      </c>
      <c r="AU954" s="2211" t="s">
        <v>134</v>
      </c>
      <c r="AV954" s="2209" t="s">
        <v>134</v>
      </c>
      <c r="AW954" s="2209" t="s">
        <v>3171</v>
      </c>
      <c r="AX954" s="2209" t="s">
        <v>3213</v>
      </c>
      <c r="AY954" s="2211" t="s">
        <v>3285</v>
      </c>
    </row>
    <row r="955" spans="2:65" s="2209" customFormat="1">
      <c r="B955" s="2210"/>
      <c r="D955" s="2197" t="s">
        <v>3303</v>
      </c>
      <c r="E955" s="2211" t="s">
        <v>3146</v>
      </c>
      <c r="F955" s="2212" t="s">
        <v>5314</v>
      </c>
      <c r="H955" s="2213">
        <v>2</v>
      </c>
      <c r="L955" s="2210"/>
      <c r="M955" s="2214"/>
      <c r="T955" s="2215"/>
      <c r="AT955" s="2211" t="s">
        <v>3303</v>
      </c>
      <c r="AU955" s="2211" t="s">
        <v>134</v>
      </c>
      <c r="AV955" s="2209" t="s">
        <v>134</v>
      </c>
      <c r="AW955" s="2209" t="s">
        <v>3171</v>
      </c>
      <c r="AX955" s="2209" t="s">
        <v>3213</v>
      </c>
      <c r="AY955" s="2211" t="s">
        <v>3285</v>
      </c>
    </row>
    <row r="956" spans="2:65" s="2216" customFormat="1">
      <c r="B956" s="2217"/>
      <c r="D956" s="2197" t="s">
        <v>3303</v>
      </c>
      <c r="E956" s="2218" t="s">
        <v>3146</v>
      </c>
      <c r="F956" s="2219" t="s">
        <v>3306</v>
      </c>
      <c r="H956" s="2220">
        <v>134.1</v>
      </c>
      <c r="L956" s="2217"/>
      <c r="M956" s="2221"/>
      <c r="T956" s="2222"/>
      <c r="AT956" s="2218" t="s">
        <v>3303</v>
      </c>
      <c r="AU956" s="2218" t="s">
        <v>134</v>
      </c>
      <c r="AV956" s="2216" t="s">
        <v>856</v>
      </c>
      <c r="AW956" s="2216" t="s">
        <v>3171</v>
      </c>
      <c r="AX956" s="2216" t="s">
        <v>133</v>
      </c>
      <c r="AY956" s="2218" t="s">
        <v>3285</v>
      </c>
    </row>
    <row r="957" spans="2:65" s="2070" customFormat="1" ht="21.75" customHeight="1">
      <c r="B957" s="2164"/>
      <c r="C957" s="4614" t="s">
        <v>5222</v>
      </c>
      <c r="D957" s="4614" t="s">
        <v>135</v>
      </c>
      <c r="E957" s="4615" t="s">
        <v>5324</v>
      </c>
      <c r="F957" s="4616" t="s">
        <v>5325</v>
      </c>
      <c r="G957" s="4617" t="s">
        <v>5326</v>
      </c>
      <c r="H957" s="4618">
        <v>532</v>
      </c>
      <c r="I957" s="4619"/>
      <c r="J957" s="4619">
        <f>ROUND(I957*H957,2)</f>
        <v>0</v>
      </c>
      <c r="K957" s="4616" t="s">
        <v>3146</v>
      </c>
      <c r="L957" s="2223"/>
      <c r="M957" s="2224" t="s">
        <v>3146</v>
      </c>
      <c r="N957" s="2225" t="s">
        <v>3181</v>
      </c>
      <c r="O957" s="2191">
        <v>0</v>
      </c>
      <c r="P957" s="2191">
        <f>O957*H957</f>
        <v>0</v>
      </c>
      <c r="Q957" s="2191">
        <v>0</v>
      </c>
      <c r="R957" s="2191">
        <f>Q957*H957</f>
        <v>0</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5327</v>
      </c>
    </row>
    <row r="958" spans="2:65" s="2209" customFormat="1">
      <c r="B958" s="2210"/>
      <c r="D958" s="2197" t="s">
        <v>3303</v>
      </c>
      <c r="E958" s="2211" t="s">
        <v>3146</v>
      </c>
      <c r="F958" s="2212" t="s">
        <v>5328</v>
      </c>
      <c r="H958" s="2213">
        <v>144</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5329</v>
      </c>
      <c r="H959" s="2213">
        <v>4</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5330</v>
      </c>
      <c r="H960" s="2213">
        <v>8</v>
      </c>
      <c r="L960" s="2210"/>
      <c r="M960" s="2214"/>
      <c r="T960" s="2215"/>
      <c r="AT960" s="2211" t="s">
        <v>3303</v>
      </c>
      <c r="AU960" s="2211" t="s">
        <v>134</v>
      </c>
      <c r="AV960" s="2209" t="s">
        <v>134</v>
      </c>
      <c r="AW960" s="2209" t="s">
        <v>3171</v>
      </c>
      <c r="AX960" s="2209" t="s">
        <v>3213</v>
      </c>
      <c r="AY960" s="2211" t="s">
        <v>3285</v>
      </c>
    </row>
    <row r="961" spans="2:51" s="2209" customFormat="1">
      <c r="B961" s="2210"/>
      <c r="D961" s="2197" t="s">
        <v>3303</v>
      </c>
      <c r="E961" s="2211" t="s">
        <v>3146</v>
      </c>
      <c r="F961" s="2212" t="s">
        <v>5331</v>
      </c>
      <c r="H961" s="2213">
        <v>16</v>
      </c>
      <c r="L961" s="2210"/>
      <c r="M961" s="2214"/>
      <c r="T961" s="2215"/>
      <c r="AT961" s="2211" t="s">
        <v>3303</v>
      </c>
      <c r="AU961" s="2211" t="s">
        <v>134</v>
      </c>
      <c r="AV961" s="2209" t="s">
        <v>134</v>
      </c>
      <c r="AW961" s="2209" t="s">
        <v>3171</v>
      </c>
      <c r="AX961" s="2209" t="s">
        <v>3213</v>
      </c>
      <c r="AY961" s="2211" t="s">
        <v>3285</v>
      </c>
    </row>
    <row r="962" spans="2:51" s="2209" customFormat="1">
      <c r="B962" s="2210"/>
      <c r="D962" s="2197" t="s">
        <v>3303</v>
      </c>
      <c r="E962" s="2211" t="s">
        <v>3146</v>
      </c>
      <c r="F962" s="2212" t="s">
        <v>5332</v>
      </c>
      <c r="H962" s="2213">
        <v>120</v>
      </c>
      <c r="L962" s="2210"/>
      <c r="M962" s="2214"/>
      <c r="T962" s="2215"/>
      <c r="AT962" s="2211" t="s">
        <v>3303</v>
      </c>
      <c r="AU962" s="2211" t="s">
        <v>134</v>
      </c>
      <c r="AV962" s="2209" t="s">
        <v>134</v>
      </c>
      <c r="AW962" s="2209" t="s">
        <v>3171</v>
      </c>
      <c r="AX962" s="2209" t="s">
        <v>3213</v>
      </c>
      <c r="AY962" s="2211" t="s">
        <v>3285</v>
      </c>
    </row>
    <row r="963" spans="2:51" s="2209" customFormat="1">
      <c r="B963" s="2210"/>
      <c r="D963" s="2197" t="s">
        <v>3303</v>
      </c>
      <c r="E963" s="2211" t="s">
        <v>3146</v>
      </c>
      <c r="F963" s="2212" t="s">
        <v>5330</v>
      </c>
      <c r="H963" s="2213">
        <v>8</v>
      </c>
      <c r="L963" s="2210"/>
      <c r="M963" s="2214"/>
      <c r="T963" s="2215"/>
      <c r="AT963" s="2211" t="s">
        <v>3303</v>
      </c>
      <c r="AU963" s="2211" t="s">
        <v>134</v>
      </c>
      <c r="AV963" s="2209" t="s">
        <v>134</v>
      </c>
      <c r="AW963" s="2209" t="s">
        <v>3171</v>
      </c>
      <c r="AX963" s="2209" t="s">
        <v>3213</v>
      </c>
      <c r="AY963" s="2211" t="s">
        <v>3285</v>
      </c>
    </row>
    <row r="964" spans="2:51" s="2209" customFormat="1">
      <c r="B964" s="2210"/>
      <c r="D964" s="2197" t="s">
        <v>3303</v>
      </c>
      <c r="E964" s="2211" t="s">
        <v>3146</v>
      </c>
      <c r="F964" s="2212" t="s">
        <v>5333</v>
      </c>
      <c r="H964" s="2213">
        <v>24</v>
      </c>
      <c r="L964" s="2210"/>
      <c r="M964" s="2214"/>
      <c r="T964" s="2215"/>
      <c r="AT964" s="2211" t="s">
        <v>3303</v>
      </c>
      <c r="AU964" s="2211" t="s">
        <v>134</v>
      </c>
      <c r="AV964" s="2209" t="s">
        <v>134</v>
      </c>
      <c r="AW964" s="2209" t="s">
        <v>3171</v>
      </c>
      <c r="AX964" s="2209" t="s">
        <v>3213</v>
      </c>
      <c r="AY964" s="2211" t="s">
        <v>3285</v>
      </c>
    </row>
    <row r="965" spans="2:51" s="2209" customFormat="1">
      <c r="B965" s="2210"/>
      <c r="D965" s="2197" t="s">
        <v>3303</v>
      </c>
      <c r="E965" s="2211" t="s">
        <v>3146</v>
      </c>
      <c r="F965" s="2212" t="s">
        <v>5330</v>
      </c>
      <c r="H965" s="2213">
        <v>8</v>
      </c>
      <c r="L965" s="2210"/>
      <c r="M965" s="2214"/>
      <c r="T965" s="2215"/>
      <c r="AT965" s="2211" t="s">
        <v>3303</v>
      </c>
      <c r="AU965" s="2211" t="s">
        <v>134</v>
      </c>
      <c r="AV965" s="2209" t="s">
        <v>134</v>
      </c>
      <c r="AW965" s="2209" t="s">
        <v>3171</v>
      </c>
      <c r="AX965" s="2209" t="s">
        <v>3213</v>
      </c>
      <c r="AY965" s="2211" t="s">
        <v>3285</v>
      </c>
    </row>
    <row r="966" spans="2:51" s="2209" customFormat="1">
      <c r="B966" s="2210"/>
      <c r="D966" s="2197" t="s">
        <v>3303</v>
      </c>
      <c r="E966" s="2211" t="s">
        <v>3146</v>
      </c>
      <c r="F966" s="2212" t="s">
        <v>5334</v>
      </c>
      <c r="H966" s="2213">
        <v>8</v>
      </c>
      <c r="L966" s="2210"/>
      <c r="M966" s="2214"/>
      <c r="T966" s="2215"/>
      <c r="AT966" s="2211" t="s">
        <v>3303</v>
      </c>
      <c r="AU966" s="2211" t="s">
        <v>134</v>
      </c>
      <c r="AV966" s="2209" t="s">
        <v>134</v>
      </c>
      <c r="AW966" s="2209" t="s">
        <v>3171</v>
      </c>
      <c r="AX966" s="2209" t="s">
        <v>3213</v>
      </c>
      <c r="AY966" s="2211" t="s">
        <v>3285</v>
      </c>
    </row>
    <row r="967" spans="2:51" s="2209" customFormat="1">
      <c r="B967" s="2210"/>
      <c r="D967" s="2197" t="s">
        <v>3303</v>
      </c>
      <c r="E967" s="2211" t="s">
        <v>3146</v>
      </c>
      <c r="F967" s="2212" t="s">
        <v>5335</v>
      </c>
      <c r="H967" s="2213">
        <v>40</v>
      </c>
      <c r="L967" s="2210"/>
      <c r="M967" s="2214"/>
      <c r="T967" s="2215"/>
      <c r="AT967" s="2211" t="s">
        <v>3303</v>
      </c>
      <c r="AU967" s="2211" t="s">
        <v>134</v>
      </c>
      <c r="AV967" s="2209" t="s">
        <v>134</v>
      </c>
      <c r="AW967" s="2209" t="s">
        <v>3171</v>
      </c>
      <c r="AX967" s="2209" t="s">
        <v>3213</v>
      </c>
      <c r="AY967" s="2211" t="s">
        <v>3285</v>
      </c>
    </row>
    <row r="968" spans="2:51" s="2209" customFormat="1">
      <c r="B968" s="2210"/>
      <c r="D968" s="2197" t="s">
        <v>3303</v>
      </c>
      <c r="E968" s="2211" t="s">
        <v>3146</v>
      </c>
      <c r="F968" s="2212" t="s">
        <v>5330</v>
      </c>
      <c r="H968" s="2213">
        <v>8</v>
      </c>
      <c r="L968" s="2210"/>
      <c r="M968" s="2214"/>
      <c r="T968" s="2215"/>
      <c r="AT968" s="2211" t="s">
        <v>3303</v>
      </c>
      <c r="AU968" s="2211" t="s">
        <v>134</v>
      </c>
      <c r="AV968" s="2209" t="s">
        <v>134</v>
      </c>
      <c r="AW968" s="2209" t="s">
        <v>3171</v>
      </c>
      <c r="AX968" s="2209" t="s">
        <v>3213</v>
      </c>
      <c r="AY968" s="2211" t="s">
        <v>3285</v>
      </c>
    </row>
    <row r="969" spans="2:51" s="2209" customFormat="1">
      <c r="B969" s="2210"/>
      <c r="D969" s="2197" t="s">
        <v>3303</v>
      </c>
      <c r="E969" s="2211" t="s">
        <v>3146</v>
      </c>
      <c r="F969" s="2212" t="s">
        <v>5336</v>
      </c>
      <c r="H969" s="2213">
        <v>64</v>
      </c>
      <c r="L969" s="2210"/>
      <c r="M969" s="2214"/>
      <c r="T969" s="2215"/>
      <c r="AT969" s="2211" t="s">
        <v>3303</v>
      </c>
      <c r="AU969" s="2211" t="s">
        <v>134</v>
      </c>
      <c r="AV969" s="2209" t="s">
        <v>134</v>
      </c>
      <c r="AW969" s="2209" t="s">
        <v>3171</v>
      </c>
      <c r="AX969" s="2209" t="s">
        <v>3213</v>
      </c>
      <c r="AY969" s="2211" t="s">
        <v>3285</v>
      </c>
    </row>
    <row r="970" spans="2:51" s="2209" customFormat="1">
      <c r="B970" s="2210"/>
      <c r="D970" s="2197" t="s">
        <v>3303</v>
      </c>
      <c r="E970" s="2211" t="s">
        <v>3146</v>
      </c>
      <c r="F970" s="2212" t="s">
        <v>5330</v>
      </c>
      <c r="H970" s="2213">
        <v>8</v>
      </c>
      <c r="L970" s="2210"/>
      <c r="M970" s="2214"/>
      <c r="T970" s="2215"/>
      <c r="AT970" s="2211" t="s">
        <v>3303</v>
      </c>
      <c r="AU970" s="2211" t="s">
        <v>134</v>
      </c>
      <c r="AV970" s="2209" t="s">
        <v>134</v>
      </c>
      <c r="AW970" s="2209" t="s">
        <v>3171</v>
      </c>
      <c r="AX970" s="2209" t="s">
        <v>3213</v>
      </c>
      <c r="AY970" s="2211" t="s">
        <v>3285</v>
      </c>
    </row>
    <row r="971" spans="2:51" s="2209" customFormat="1">
      <c r="B971" s="2210"/>
      <c r="D971" s="2197" t="s">
        <v>3303</v>
      </c>
      <c r="E971" s="2211" t="s">
        <v>3146</v>
      </c>
      <c r="F971" s="2212" t="s">
        <v>5334</v>
      </c>
      <c r="H971" s="2213">
        <v>8</v>
      </c>
      <c r="L971" s="2210"/>
      <c r="M971" s="2214"/>
      <c r="T971" s="2215"/>
      <c r="AT971" s="2211" t="s">
        <v>3303</v>
      </c>
      <c r="AU971" s="2211" t="s">
        <v>134</v>
      </c>
      <c r="AV971" s="2209" t="s">
        <v>134</v>
      </c>
      <c r="AW971" s="2209" t="s">
        <v>3171</v>
      </c>
      <c r="AX971" s="2209" t="s">
        <v>3213</v>
      </c>
      <c r="AY971" s="2211" t="s">
        <v>3285</v>
      </c>
    </row>
    <row r="972" spans="2:51" s="2209" customFormat="1">
      <c r="B972" s="2210"/>
      <c r="D972" s="2197" t="s">
        <v>3303</v>
      </c>
      <c r="E972" s="2211" t="s">
        <v>3146</v>
      </c>
      <c r="F972" s="2212" t="s">
        <v>5333</v>
      </c>
      <c r="H972" s="2213">
        <v>24</v>
      </c>
      <c r="L972" s="2210"/>
      <c r="M972" s="2214"/>
      <c r="T972" s="2215"/>
      <c r="AT972" s="2211" t="s">
        <v>3303</v>
      </c>
      <c r="AU972" s="2211" t="s">
        <v>134</v>
      </c>
      <c r="AV972" s="2209" t="s">
        <v>134</v>
      </c>
      <c r="AW972" s="2209" t="s">
        <v>3171</v>
      </c>
      <c r="AX972" s="2209" t="s">
        <v>3213</v>
      </c>
      <c r="AY972" s="2211" t="s">
        <v>3285</v>
      </c>
    </row>
    <row r="973" spans="2:51" s="2209" customFormat="1">
      <c r="B973" s="2210"/>
      <c r="D973" s="2197" t="s">
        <v>3303</v>
      </c>
      <c r="E973" s="2211" t="s">
        <v>3146</v>
      </c>
      <c r="F973" s="2212" t="s">
        <v>5334</v>
      </c>
      <c r="H973" s="2213">
        <v>8</v>
      </c>
      <c r="L973" s="2210"/>
      <c r="M973" s="2214"/>
      <c r="T973" s="2215"/>
      <c r="AT973" s="2211" t="s">
        <v>3303</v>
      </c>
      <c r="AU973" s="2211" t="s">
        <v>134</v>
      </c>
      <c r="AV973" s="2209" t="s">
        <v>134</v>
      </c>
      <c r="AW973" s="2209" t="s">
        <v>3171</v>
      </c>
      <c r="AX973" s="2209" t="s">
        <v>3213</v>
      </c>
      <c r="AY973" s="2211" t="s">
        <v>3285</v>
      </c>
    </row>
    <row r="974" spans="2:51" s="2209" customFormat="1">
      <c r="B974" s="2210"/>
      <c r="D974" s="2197" t="s">
        <v>3303</v>
      </c>
      <c r="E974" s="2211" t="s">
        <v>3146</v>
      </c>
      <c r="F974" s="2212" t="s">
        <v>5337</v>
      </c>
      <c r="H974" s="2213">
        <v>24</v>
      </c>
      <c r="L974" s="2210"/>
      <c r="M974" s="2214"/>
      <c r="T974" s="2215"/>
      <c r="AT974" s="2211" t="s">
        <v>3303</v>
      </c>
      <c r="AU974" s="2211" t="s">
        <v>134</v>
      </c>
      <c r="AV974" s="2209" t="s">
        <v>134</v>
      </c>
      <c r="AW974" s="2209" t="s">
        <v>3171</v>
      </c>
      <c r="AX974" s="2209" t="s">
        <v>3213</v>
      </c>
      <c r="AY974" s="2211" t="s">
        <v>3285</v>
      </c>
    </row>
    <row r="975" spans="2:51" s="2209" customFormat="1">
      <c r="B975" s="2210"/>
      <c r="D975" s="2197" t="s">
        <v>3303</v>
      </c>
      <c r="E975" s="2211" t="s">
        <v>3146</v>
      </c>
      <c r="F975" s="2212" t="s">
        <v>5330</v>
      </c>
      <c r="H975" s="2213">
        <v>8</v>
      </c>
      <c r="L975" s="2210"/>
      <c r="M975" s="2214"/>
      <c r="T975" s="2215"/>
      <c r="AT975" s="2211" t="s">
        <v>3303</v>
      </c>
      <c r="AU975" s="2211" t="s">
        <v>134</v>
      </c>
      <c r="AV975" s="2209" t="s">
        <v>134</v>
      </c>
      <c r="AW975" s="2209" t="s">
        <v>3171</v>
      </c>
      <c r="AX975" s="2209" t="s">
        <v>3213</v>
      </c>
      <c r="AY975" s="2211" t="s">
        <v>3285</v>
      </c>
    </row>
    <row r="976" spans="2:51" s="2216" customFormat="1">
      <c r="B976" s="2217"/>
      <c r="D976" s="2197" t="s">
        <v>3303</v>
      </c>
      <c r="E976" s="2218" t="s">
        <v>3146</v>
      </c>
      <c r="F976" s="2219" t="s">
        <v>3306</v>
      </c>
      <c r="H976" s="2220">
        <v>532</v>
      </c>
      <c r="L976" s="2217"/>
      <c r="M976" s="2221"/>
      <c r="T976" s="2222"/>
      <c r="AT976" s="2218" t="s">
        <v>3303</v>
      </c>
      <c r="AU976" s="2218" t="s">
        <v>134</v>
      </c>
      <c r="AV976" s="2216" t="s">
        <v>856</v>
      </c>
      <c r="AW976" s="2216" t="s">
        <v>3171</v>
      </c>
      <c r="AX976" s="2216" t="s">
        <v>133</v>
      </c>
      <c r="AY976" s="2218" t="s">
        <v>3285</v>
      </c>
    </row>
    <row r="977" spans="2:65" s="2070" customFormat="1" ht="24.2" customHeight="1">
      <c r="B977" s="2164"/>
      <c r="C977" s="4608" t="s">
        <v>5226</v>
      </c>
      <c r="D977" s="4608" t="s">
        <v>3286</v>
      </c>
      <c r="E977" s="4609" t="s">
        <v>5338</v>
      </c>
      <c r="F977" s="4610" t="s">
        <v>5339</v>
      </c>
      <c r="G977" s="4611" t="s">
        <v>611</v>
      </c>
      <c r="H977" s="4612">
        <v>5.4</v>
      </c>
      <c r="I977" s="4613"/>
      <c r="J977" s="4613">
        <f>ROUND(I977*H977,2)</f>
        <v>0</v>
      </c>
      <c r="K977" s="4610" t="s">
        <v>142</v>
      </c>
      <c r="L977" s="2071"/>
      <c r="M977" s="2190" t="s">
        <v>3146</v>
      </c>
      <c r="N977" s="2163" t="s">
        <v>3181</v>
      </c>
      <c r="O977" s="2191">
        <v>0.15</v>
      </c>
      <c r="P977" s="2191">
        <f>O977*H977</f>
        <v>0.81</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5340</v>
      </c>
    </row>
    <row r="978" spans="2:65" s="2195" customFormat="1">
      <c r="B978" s="2196"/>
      <c r="D978" s="2197" t="s">
        <v>3303</v>
      </c>
      <c r="E978" s="2198" t="s">
        <v>3146</v>
      </c>
      <c r="F978" s="2199" t="s">
        <v>5341</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5342</v>
      </c>
      <c r="H979" s="2213">
        <v>1.9</v>
      </c>
      <c r="L979" s="2210"/>
      <c r="M979" s="2214"/>
      <c r="T979" s="2215"/>
      <c r="AT979" s="2211" t="s">
        <v>3303</v>
      </c>
      <c r="AU979" s="2211" t="s">
        <v>134</v>
      </c>
      <c r="AV979" s="2209" t="s">
        <v>134</v>
      </c>
      <c r="AW979" s="2209" t="s">
        <v>3171</v>
      </c>
      <c r="AX979" s="2209" t="s">
        <v>3213</v>
      </c>
      <c r="AY979" s="2211" t="s">
        <v>3285</v>
      </c>
    </row>
    <row r="980" spans="2:65" s="2195" customFormat="1">
      <c r="B980" s="2196"/>
      <c r="D980" s="2197" t="s">
        <v>3303</v>
      </c>
      <c r="E980" s="2198" t="s">
        <v>3146</v>
      </c>
      <c r="F980" s="2199" t="s">
        <v>5343</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5344</v>
      </c>
      <c r="H981" s="2213">
        <v>3.5</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5.4</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14" t="s">
        <v>5230</v>
      </c>
      <c r="D983" s="4614" t="s">
        <v>135</v>
      </c>
      <c r="E983" s="4615" t="s">
        <v>5345</v>
      </c>
      <c r="F983" s="4616" t="s">
        <v>5346</v>
      </c>
      <c r="G983" s="4617" t="s">
        <v>611</v>
      </c>
      <c r="H983" s="4618">
        <v>3.85</v>
      </c>
      <c r="I983" s="4619"/>
      <c r="J983" s="4619">
        <f>ROUND(I983*H983,2)</f>
        <v>0</v>
      </c>
      <c r="K983" s="4616" t="s">
        <v>142</v>
      </c>
      <c r="L983" s="2223"/>
      <c r="M983" s="2224" t="s">
        <v>3146</v>
      </c>
      <c r="N983" s="2225" t="s">
        <v>3181</v>
      </c>
      <c r="O983" s="2191">
        <v>0</v>
      </c>
      <c r="P983" s="2191">
        <f>O983*H983</f>
        <v>0</v>
      </c>
      <c r="Q983" s="2191">
        <v>3.3999999999999998E-3</v>
      </c>
      <c r="R983" s="2191">
        <f>Q983*H983</f>
        <v>1.3089999999999999E-2</v>
      </c>
      <c r="S983" s="2191">
        <v>0</v>
      </c>
      <c r="T983" s="2192">
        <f>S983*H983</f>
        <v>0</v>
      </c>
      <c r="AR983" s="2193" t="s">
        <v>3389</v>
      </c>
      <c r="AT983" s="2193" t="s">
        <v>135</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5347</v>
      </c>
    </row>
    <row r="984" spans="2:65" s="2195" customFormat="1">
      <c r="B984" s="2196"/>
      <c r="D984" s="2197" t="s">
        <v>3303</v>
      </c>
      <c r="E984" s="2198" t="s">
        <v>3146</v>
      </c>
      <c r="F984" s="2199" t="s">
        <v>5343</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5344</v>
      </c>
      <c r="H985" s="2213">
        <v>3.5</v>
      </c>
      <c r="L985" s="2210"/>
      <c r="M985" s="2214"/>
      <c r="T985" s="2215"/>
      <c r="AT985" s="2211" t="s">
        <v>3303</v>
      </c>
      <c r="AU985" s="2211" t="s">
        <v>134</v>
      </c>
      <c r="AV985" s="2209" t="s">
        <v>134</v>
      </c>
      <c r="AW985" s="2209" t="s">
        <v>3171</v>
      </c>
      <c r="AX985" s="2209" t="s">
        <v>3213</v>
      </c>
      <c r="AY985" s="2211" t="s">
        <v>3285</v>
      </c>
    </row>
    <row r="986" spans="2:65" s="2216" customFormat="1">
      <c r="B986" s="2217"/>
      <c r="D986" s="2197" t="s">
        <v>3303</v>
      </c>
      <c r="E986" s="2218" t="s">
        <v>3146</v>
      </c>
      <c r="F986" s="2219" t="s">
        <v>3306</v>
      </c>
      <c r="H986" s="2220">
        <v>3.5</v>
      </c>
      <c r="L986" s="2217"/>
      <c r="M986" s="2221"/>
      <c r="T986" s="2222"/>
      <c r="AT986" s="2218" t="s">
        <v>3303</v>
      </c>
      <c r="AU986" s="2218" t="s">
        <v>134</v>
      </c>
      <c r="AV986" s="2216" t="s">
        <v>856</v>
      </c>
      <c r="AW986" s="2216" t="s">
        <v>3171</v>
      </c>
      <c r="AX986" s="2216" t="s">
        <v>133</v>
      </c>
      <c r="AY986" s="2218" t="s">
        <v>3285</v>
      </c>
    </row>
    <row r="987" spans="2:65" s="2209" customFormat="1">
      <c r="B987" s="2210"/>
      <c r="D987" s="2197" t="s">
        <v>3303</v>
      </c>
      <c r="F987" s="2212" t="s">
        <v>5348</v>
      </c>
      <c r="H987" s="2213">
        <v>3.85</v>
      </c>
      <c r="L987" s="2210"/>
      <c r="M987" s="2214"/>
      <c r="T987" s="2215"/>
      <c r="AT987" s="2211" t="s">
        <v>3303</v>
      </c>
      <c r="AU987" s="2211" t="s">
        <v>134</v>
      </c>
      <c r="AV987" s="2209" t="s">
        <v>134</v>
      </c>
      <c r="AW987" s="2209" t="s">
        <v>3148</v>
      </c>
      <c r="AX987" s="2209" t="s">
        <v>133</v>
      </c>
      <c r="AY987" s="2211" t="s">
        <v>3285</v>
      </c>
    </row>
    <row r="988" spans="2:65" s="2070" customFormat="1" ht="16.5" customHeight="1">
      <c r="B988" s="2164"/>
      <c r="C988" s="4614" t="s">
        <v>5234</v>
      </c>
      <c r="D988" s="4614" t="s">
        <v>135</v>
      </c>
      <c r="E988" s="4615" t="s">
        <v>5349</v>
      </c>
      <c r="F988" s="4616" t="s">
        <v>5350</v>
      </c>
      <c r="G988" s="4617" t="s">
        <v>611</v>
      </c>
      <c r="H988" s="4618">
        <v>2.09</v>
      </c>
      <c r="I988" s="4619"/>
      <c r="J988" s="4619">
        <f>ROUND(I988*H988,2)</f>
        <v>0</v>
      </c>
      <c r="K988" s="4616" t="s">
        <v>142</v>
      </c>
      <c r="L988" s="2223"/>
      <c r="M988" s="2224" t="s">
        <v>3146</v>
      </c>
      <c r="N988" s="2225" t="s">
        <v>3181</v>
      </c>
      <c r="O988" s="2191">
        <v>0</v>
      </c>
      <c r="P988" s="2191">
        <f>O988*H988</f>
        <v>0</v>
      </c>
      <c r="Q988" s="2191">
        <v>1.7999999999999999E-2</v>
      </c>
      <c r="R988" s="2191">
        <f>Q988*H988</f>
        <v>3.7619999999999994E-2</v>
      </c>
      <c r="S988" s="2191">
        <v>0</v>
      </c>
      <c r="T988" s="2192">
        <f>S988*H988</f>
        <v>0</v>
      </c>
      <c r="AR988" s="2193" t="s">
        <v>3389</v>
      </c>
      <c r="AT988" s="2193" t="s">
        <v>135</v>
      </c>
      <c r="AU988" s="2193" t="s">
        <v>134</v>
      </c>
      <c r="AY988" s="2056" t="s">
        <v>3285</v>
      </c>
      <c r="BE988" s="2194">
        <f>IF(N988="základní",J988,0)</f>
        <v>0</v>
      </c>
      <c r="BF988" s="2194">
        <f>IF(N988="snížená",J988,0)</f>
        <v>0</v>
      </c>
      <c r="BG988" s="2194">
        <f>IF(N988="zákl. přenesená",J988,0)</f>
        <v>0</v>
      </c>
      <c r="BH988" s="2194">
        <f>IF(N988="sníž. přenesená",J988,0)</f>
        <v>0</v>
      </c>
      <c r="BI988" s="2194">
        <f>IF(N988="nulová",J988,0)</f>
        <v>0</v>
      </c>
      <c r="BJ988" s="2056" t="s">
        <v>134</v>
      </c>
      <c r="BK988" s="2194">
        <f>ROUND(I988*H988,2)</f>
        <v>0</v>
      </c>
      <c r="BL988" s="2056" t="s">
        <v>2894</v>
      </c>
      <c r="BM988" s="2193" t="s">
        <v>5351</v>
      </c>
    </row>
    <row r="989" spans="2:65" s="2195" customFormat="1">
      <c r="B989" s="2196"/>
      <c r="D989" s="2197" t="s">
        <v>3303</v>
      </c>
      <c r="E989" s="2198" t="s">
        <v>3146</v>
      </c>
      <c r="F989" s="2199" t="s">
        <v>5341</v>
      </c>
      <c r="H989" s="2198" t="s">
        <v>3146</v>
      </c>
      <c r="L989" s="2196"/>
      <c r="M989" s="2200"/>
      <c r="T989" s="2201"/>
      <c r="AT989" s="2198" t="s">
        <v>3303</v>
      </c>
      <c r="AU989" s="2198" t="s">
        <v>134</v>
      </c>
      <c r="AV989" s="2195" t="s">
        <v>133</v>
      </c>
      <c r="AW989" s="2195" t="s">
        <v>3171</v>
      </c>
      <c r="AX989" s="2195" t="s">
        <v>3213</v>
      </c>
      <c r="AY989" s="2198" t="s">
        <v>3285</v>
      </c>
    </row>
    <row r="990" spans="2:65" s="2209" customFormat="1">
      <c r="B990" s="2210"/>
      <c r="D990" s="2197" t="s">
        <v>3303</v>
      </c>
      <c r="E990" s="2211" t="s">
        <v>3146</v>
      </c>
      <c r="F990" s="2212" t="s">
        <v>5342</v>
      </c>
      <c r="H990" s="2213">
        <v>1.9</v>
      </c>
      <c r="L990" s="2210"/>
      <c r="M990" s="2214"/>
      <c r="T990" s="2215"/>
      <c r="AT990" s="2211" t="s">
        <v>3303</v>
      </c>
      <c r="AU990" s="2211" t="s">
        <v>134</v>
      </c>
      <c r="AV990" s="2209" t="s">
        <v>134</v>
      </c>
      <c r="AW990" s="2209" t="s">
        <v>3171</v>
      </c>
      <c r="AX990" s="2209" t="s">
        <v>3213</v>
      </c>
      <c r="AY990" s="2211" t="s">
        <v>3285</v>
      </c>
    </row>
    <row r="991" spans="2:65" s="2216" customFormat="1">
      <c r="B991" s="2217"/>
      <c r="D991" s="2197" t="s">
        <v>3303</v>
      </c>
      <c r="E991" s="2218" t="s">
        <v>3146</v>
      </c>
      <c r="F991" s="2219" t="s">
        <v>3306</v>
      </c>
      <c r="H991" s="2220">
        <v>1.9</v>
      </c>
      <c r="L991" s="2217"/>
      <c r="M991" s="2221"/>
      <c r="T991" s="2222"/>
      <c r="AT991" s="2218" t="s">
        <v>3303</v>
      </c>
      <c r="AU991" s="2218" t="s">
        <v>134</v>
      </c>
      <c r="AV991" s="2216" t="s">
        <v>856</v>
      </c>
      <c r="AW991" s="2216" t="s">
        <v>3171</v>
      </c>
      <c r="AX991" s="2216" t="s">
        <v>133</v>
      </c>
      <c r="AY991" s="2218" t="s">
        <v>3285</v>
      </c>
    </row>
    <row r="992" spans="2:65" s="2209" customFormat="1">
      <c r="B992" s="2210"/>
      <c r="D992" s="2197" t="s">
        <v>3303</v>
      </c>
      <c r="F992" s="2212" t="s">
        <v>5352</v>
      </c>
      <c r="H992" s="2213">
        <v>2.09</v>
      </c>
      <c r="L992" s="2210"/>
      <c r="M992" s="2214"/>
      <c r="T992" s="2215"/>
      <c r="AT992" s="2211" t="s">
        <v>3303</v>
      </c>
      <c r="AU992" s="2211" t="s">
        <v>134</v>
      </c>
      <c r="AV992" s="2209" t="s">
        <v>134</v>
      </c>
      <c r="AW992" s="2209" t="s">
        <v>3148</v>
      </c>
      <c r="AX992" s="2209" t="s">
        <v>133</v>
      </c>
      <c r="AY992" s="2211" t="s">
        <v>3285</v>
      </c>
    </row>
    <row r="993" spans="2:65" s="2070" customFormat="1" ht="24.2" customHeight="1">
      <c r="B993" s="2164"/>
      <c r="C993" s="4608" t="s">
        <v>5194</v>
      </c>
      <c r="D993" s="4608" t="s">
        <v>3286</v>
      </c>
      <c r="E993" s="4609" t="s">
        <v>5353</v>
      </c>
      <c r="F993" s="4610" t="s">
        <v>5354</v>
      </c>
      <c r="G993" s="4611" t="s">
        <v>141</v>
      </c>
      <c r="H993" s="4612">
        <v>56.12</v>
      </c>
      <c r="I993" s="4613"/>
      <c r="J993" s="4613">
        <f>ROUND(I993*H993,2)</f>
        <v>0</v>
      </c>
      <c r="K993" s="4610" t="s">
        <v>142</v>
      </c>
      <c r="L993" s="2071"/>
      <c r="M993" s="2190" t="s">
        <v>3146</v>
      </c>
      <c r="N993" s="2163" t="s">
        <v>3181</v>
      </c>
      <c r="O993" s="2191">
        <v>0.21</v>
      </c>
      <c r="P993" s="2191">
        <f>O993*H993</f>
        <v>11.7852</v>
      </c>
      <c r="Q993" s="2191">
        <v>0</v>
      </c>
      <c r="R993" s="2191">
        <f>Q993*H993</f>
        <v>0</v>
      </c>
      <c r="S993" s="2191">
        <v>0</v>
      </c>
      <c r="T993" s="2192">
        <f>S993*H993</f>
        <v>0</v>
      </c>
      <c r="AR993" s="2193" t="s">
        <v>2894</v>
      </c>
      <c r="AT993" s="2193" t="s">
        <v>3286</v>
      </c>
      <c r="AU993" s="2193" t="s">
        <v>134</v>
      </c>
      <c r="AY993" s="2056" t="s">
        <v>3285</v>
      </c>
      <c r="BE993" s="2194">
        <f>IF(N993="základní",J993,0)</f>
        <v>0</v>
      </c>
      <c r="BF993" s="2194">
        <f>IF(N993="snížená",J993,0)</f>
        <v>0</v>
      </c>
      <c r="BG993" s="2194">
        <f>IF(N993="zákl. přenesená",J993,0)</f>
        <v>0</v>
      </c>
      <c r="BH993" s="2194">
        <f>IF(N993="sníž. přenesená",J993,0)</f>
        <v>0</v>
      </c>
      <c r="BI993" s="2194">
        <f>IF(N993="nulová",J993,0)</f>
        <v>0</v>
      </c>
      <c r="BJ993" s="2056" t="s">
        <v>134</v>
      </c>
      <c r="BK993" s="2194">
        <f>ROUND(I993*H993,2)</f>
        <v>0</v>
      </c>
      <c r="BL993" s="2056" t="s">
        <v>2894</v>
      </c>
      <c r="BM993" s="2193" t="s">
        <v>5355</v>
      </c>
    </row>
    <row r="994" spans="2:65" s="2195" customFormat="1">
      <c r="B994" s="2196"/>
      <c r="D994" s="2197" t="s">
        <v>3303</v>
      </c>
      <c r="E994" s="2198" t="s">
        <v>3146</v>
      </c>
      <c r="F994" s="2199" t="s">
        <v>5341</v>
      </c>
      <c r="H994" s="2198" t="s">
        <v>3146</v>
      </c>
      <c r="L994" s="2196"/>
      <c r="M994" s="2200"/>
      <c r="T994" s="2201"/>
      <c r="AT994" s="2198" t="s">
        <v>3303</v>
      </c>
      <c r="AU994" s="2198" t="s">
        <v>134</v>
      </c>
      <c r="AV994" s="2195" t="s">
        <v>133</v>
      </c>
      <c r="AW994" s="2195" t="s">
        <v>3171</v>
      </c>
      <c r="AX994" s="2195" t="s">
        <v>3213</v>
      </c>
      <c r="AY994" s="2198" t="s">
        <v>3285</v>
      </c>
    </row>
    <row r="995" spans="2:65" s="2209" customFormat="1">
      <c r="B995" s="2210"/>
      <c r="D995" s="2197" t="s">
        <v>3303</v>
      </c>
      <c r="E995" s="2211" t="s">
        <v>3146</v>
      </c>
      <c r="F995" s="2212" t="s">
        <v>5356</v>
      </c>
      <c r="H995" s="2213">
        <v>3.6</v>
      </c>
      <c r="L995" s="2210"/>
      <c r="M995" s="2214"/>
      <c r="T995" s="2215"/>
      <c r="AT995" s="2211" t="s">
        <v>3303</v>
      </c>
      <c r="AU995" s="2211" t="s">
        <v>134</v>
      </c>
      <c r="AV995" s="2209" t="s">
        <v>134</v>
      </c>
      <c r="AW995" s="2209" t="s">
        <v>3171</v>
      </c>
      <c r="AX995" s="2209" t="s">
        <v>3213</v>
      </c>
      <c r="AY995" s="2211" t="s">
        <v>3285</v>
      </c>
    </row>
    <row r="996" spans="2:65" s="2209" customFormat="1">
      <c r="B996" s="2210"/>
      <c r="D996" s="2197" t="s">
        <v>3303</v>
      </c>
      <c r="E996" s="2211" t="s">
        <v>3146</v>
      </c>
      <c r="F996" s="2212" t="s">
        <v>5357</v>
      </c>
      <c r="H996" s="2213">
        <v>5.2</v>
      </c>
      <c r="L996" s="2210"/>
      <c r="M996" s="2214"/>
      <c r="T996" s="2215"/>
      <c r="AT996" s="2211" t="s">
        <v>3303</v>
      </c>
      <c r="AU996" s="2211" t="s">
        <v>134</v>
      </c>
      <c r="AV996" s="2209" t="s">
        <v>134</v>
      </c>
      <c r="AW996" s="2209" t="s">
        <v>3171</v>
      </c>
      <c r="AX996" s="2209" t="s">
        <v>3213</v>
      </c>
      <c r="AY996" s="2211" t="s">
        <v>3285</v>
      </c>
    </row>
    <row r="997" spans="2:65" s="2202" customFormat="1">
      <c r="B997" s="2203"/>
      <c r="D997" s="2197" t="s">
        <v>3303</v>
      </c>
      <c r="E997" s="2204" t="s">
        <v>3146</v>
      </c>
      <c r="F997" s="2205" t="s">
        <v>3305</v>
      </c>
      <c r="H997" s="2206">
        <v>8.8000000000000007</v>
      </c>
      <c r="L997" s="2203"/>
      <c r="M997" s="2207"/>
      <c r="T997" s="2208"/>
      <c r="AT997" s="2204" t="s">
        <v>3303</v>
      </c>
      <c r="AU997" s="2204" t="s">
        <v>134</v>
      </c>
      <c r="AV997" s="2202" t="s">
        <v>854</v>
      </c>
      <c r="AW997" s="2202" t="s">
        <v>3171</v>
      </c>
      <c r="AX997" s="2202" t="s">
        <v>3213</v>
      </c>
      <c r="AY997" s="2204" t="s">
        <v>3285</v>
      </c>
    </row>
    <row r="998" spans="2:65" s="2195" customFormat="1">
      <c r="B998" s="2196"/>
      <c r="D998" s="2197" t="s">
        <v>3303</v>
      </c>
      <c r="E998" s="2198" t="s">
        <v>3146</v>
      </c>
      <c r="F998" s="2199" t="s">
        <v>5358</v>
      </c>
      <c r="H998" s="2198" t="s">
        <v>3146</v>
      </c>
      <c r="L998" s="2196"/>
      <c r="M998" s="2200"/>
      <c r="T998" s="2201"/>
      <c r="AT998" s="2198" t="s">
        <v>3303</v>
      </c>
      <c r="AU998" s="2198" t="s">
        <v>134</v>
      </c>
      <c r="AV998" s="2195" t="s">
        <v>133</v>
      </c>
      <c r="AW998" s="2195" t="s">
        <v>3171</v>
      </c>
      <c r="AX998" s="2195" t="s">
        <v>3213</v>
      </c>
      <c r="AY998" s="2198" t="s">
        <v>3285</v>
      </c>
    </row>
    <row r="999" spans="2:65" s="2209" customFormat="1">
      <c r="B999" s="2210"/>
      <c r="D999" s="2197" t="s">
        <v>3303</v>
      </c>
      <c r="E999" s="2211" t="s">
        <v>3146</v>
      </c>
      <c r="F999" s="2212" t="s">
        <v>5359</v>
      </c>
      <c r="H999" s="2213">
        <v>4.2</v>
      </c>
      <c r="L999" s="2210"/>
      <c r="M999" s="2214"/>
      <c r="T999" s="2215"/>
      <c r="AT999" s="2211" t="s">
        <v>3303</v>
      </c>
      <c r="AU999" s="2211" t="s">
        <v>134</v>
      </c>
      <c r="AV999" s="2209" t="s">
        <v>134</v>
      </c>
      <c r="AW999" s="2209" t="s">
        <v>3171</v>
      </c>
      <c r="AX999" s="2209" t="s">
        <v>3213</v>
      </c>
      <c r="AY999" s="2211" t="s">
        <v>3285</v>
      </c>
    </row>
    <row r="1000" spans="2:65" s="2209" customFormat="1">
      <c r="B1000" s="2210"/>
      <c r="D1000" s="2197" t="s">
        <v>3303</v>
      </c>
      <c r="E1000" s="2211" t="s">
        <v>3146</v>
      </c>
      <c r="F1000" s="2212" t="s">
        <v>5360</v>
      </c>
      <c r="H1000" s="2213">
        <v>6.4</v>
      </c>
      <c r="L1000" s="2210"/>
      <c r="M1000" s="2214"/>
      <c r="T1000" s="2215"/>
      <c r="AT1000" s="2211" t="s">
        <v>3303</v>
      </c>
      <c r="AU1000" s="2211" t="s">
        <v>134</v>
      </c>
      <c r="AV1000" s="2209" t="s">
        <v>134</v>
      </c>
      <c r="AW1000" s="2209" t="s">
        <v>3171</v>
      </c>
      <c r="AX1000" s="2209" t="s">
        <v>3213</v>
      </c>
      <c r="AY1000" s="2211" t="s">
        <v>3285</v>
      </c>
    </row>
    <row r="1001" spans="2:65" s="2202" customFormat="1">
      <c r="B1001" s="2203"/>
      <c r="D1001" s="2197" t="s">
        <v>3303</v>
      </c>
      <c r="E1001" s="2204" t="s">
        <v>3146</v>
      </c>
      <c r="F1001" s="2205" t="s">
        <v>3305</v>
      </c>
      <c r="H1001" s="2206">
        <v>10.6</v>
      </c>
      <c r="L1001" s="2203"/>
      <c r="M1001" s="2207"/>
      <c r="T1001" s="2208"/>
      <c r="AT1001" s="2204" t="s">
        <v>3303</v>
      </c>
      <c r="AU1001" s="2204" t="s">
        <v>134</v>
      </c>
      <c r="AV1001" s="2202" t="s">
        <v>854</v>
      </c>
      <c r="AW1001" s="2202" t="s">
        <v>3171</v>
      </c>
      <c r="AX1001" s="2202" t="s">
        <v>3213</v>
      </c>
      <c r="AY1001" s="2204" t="s">
        <v>3285</v>
      </c>
    </row>
    <row r="1002" spans="2:65" s="2195" customFormat="1">
      <c r="B1002" s="2196"/>
      <c r="D1002" s="2197" t="s">
        <v>3303</v>
      </c>
      <c r="E1002" s="2198" t="s">
        <v>3146</v>
      </c>
      <c r="F1002" s="2199" t="s">
        <v>11330</v>
      </c>
      <c r="H1002" s="2198" t="s">
        <v>3146</v>
      </c>
      <c r="L1002" s="2196"/>
      <c r="M1002" s="2200"/>
      <c r="T1002" s="2201"/>
      <c r="AT1002" s="2198" t="s">
        <v>3303</v>
      </c>
      <c r="AU1002" s="2198" t="s">
        <v>134</v>
      </c>
      <c r="AV1002" s="2195" t="s">
        <v>133</v>
      </c>
      <c r="AW1002" s="2195" t="s">
        <v>3171</v>
      </c>
      <c r="AX1002" s="2195" t="s">
        <v>3213</v>
      </c>
      <c r="AY1002" s="2198" t="s">
        <v>3285</v>
      </c>
    </row>
    <row r="1003" spans="2:65" s="2209" customFormat="1">
      <c r="B1003" s="2210"/>
      <c r="D1003" s="2197" t="s">
        <v>3303</v>
      </c>
      <c r="E1003" s="2211" t="s">
        <v>3146</v>
      </c>
      <c r="F1003" s="2212" t="s">
        <v>11331</v>
      </c>
      <c r="H1003" s="2213">
        <v>36.72</v>
      </c>
      <c r="L1003" s="2210"/>
      <c r="M1003" s="2214"/>
      <c r="T1003" s="2215"/>
      <c r="AT1003" s="2211" t="s">
        <v>3303</v>
      </c>
      <c r="AU1003" s="2211" t="s">
        <v>134</v>
      </c>
      <c r="AV1003" s="2209" t="s">
        <v>134</v>
      </c>
      <c r="AW1003" s="2209" t="s">
        <v>3171</v>
      </c>
      <c r="AX1003" s="2209" t="s">
        <v>3213</v>
      </c>
      <c r="AY1003" s="2211" t="s">
        <v>3285</v>
      </c>
    </row>
    <row r="1004" spans="2:65" s="2202" customFormat="1">
      <c r="B1004" s="2203"/>
      <c r="D1004" s="2197" t="s">
        <v>3303</v>
      </c>
      <c r="E1004" s="2204" t="s">
        <v>3146</v>
      </c>
      <c r="F1004" s="2205" t="s">
        <v>3305</v>
      </c>
      <c r="H1004" s="2206">
        <v>36.72</v>
      </c>
      <c r="L1004" s="2203"/>
      <c r="M1004" s="2207"/>
      <c r="T1004" s="2208"/>
      <c r="AT1004" s="2204" t="s">
        <v>3303</v>
      </c>
      <c r="AU1004" s="2204" t="s">
        <v>134</v>
      </c>
      <c r="AV1004" s="2202" t="s">
        <v>854</v>
      </c>
      <c r="AW1004" s="2202" t="s">
        <v>3171</v>
      </c>
      <c r="AX1004" s="2202" t="s">
        <v>3213</v>
      </c>
      <c r="AY1004" s="2204" t="s">
        <v>3285</v>
      </c>
    </row>
    <row r="1005" spans="2:65" s="2216" customFormat="1">
      <c r="B1005" s="2217"/>
      <c r="D1005" s="2197" t="s">
        <v>3303</v>
      </c>
      <c r="E1005" s="2218" t="s">
        <v>3146</v>
      </c>
      <c r="F1005" s="2219" t="s">
        <v>3306</v>
      </c>
      <c r="H1005" s="2220">
        <v>56.12</v>
      </c>
      <c r="L1005" s="2217"/>
      <c r="M1005" s="2221"/>
      <c r="T1005" s="2222"/>
      <c r="AT1005" s="2218" t="s">
        <v>3303</v>
      </c>
      <c r="AU1005" s="2218" t="s">
        <v>134</v>
      </c>
      <c r="AV1005" s="2216" t="s">
        <v>856</v>
      </c>
      <c r="AW1005" s="2216" t="s">
        <v>3171</v>
      </c>
      <c r="AX1005" s="2216" t="s">
        <v>133</v>
      </c>
      <c r="AY1005" s="2218" t="s">
        <v>3285</v>
      </c>
    </row>
    <row r="1006" spans="2:65" s="2070" customFormat="1" ht="21.75" customHeight="1">
      <c r="B1006" s="2164"/>
      <c r="C1006" s="4614" t="s">
        <v>4587</v>
      </c>
      <c r="D1006" s="4614" t="s">
        <v>135</v>
      </c>
      <c r="E1006" s="4615" t="s">
        <v>5361</v>
      </c>
      <c r="F1006" s="4616" t="s">
        <v>5362</v>
      </c>
      <c r="G1006" s="4617" t="s">
        <v>141</v>
      </c>
      <c r="H1006" s="4618">
        <v>21.34</v>
      </c>
      <c r="I1006" s="4619"/>
      <c r="J1006" s="4619">
        <f>ROUND(I1006*H1006,2)</f>
        <v>0</v>
      </c>
      <c r="K1006" s="4616" t="s">
        <v>142</v>
      </c>
      <c r="L1006" s="2223"/>
      <c r="M1006" s="2224" t="s">
        <v>3146</v>
      </c>
      <c r="N1006" s="2225" t="s">
        <v>3181</v>
      </c>
      <c r="O1006" s="2191">
        <v>0</v>
      </c>
      <c r="P1006" s="2191">
        <f>O1006*H1006</f>
        <v>0</v>
      </c>
      <c r="Q1006" s="2191">
        <v>2.0000000000000001E-4</v>
      </c>
      <c r="R1006" s="2191">
        <f>Q1006*H1006</f>
        <v>4.2680000000000001E-3</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5363</v>
      </c>
    </row>
    <row r="1007" spans="2:65" s="2209" customFormat="1">
      <c r="B1007" s="2210"/>
      <c r="D1007" s="2197" t="s">
        <v>3303</v>
      </c>
      <c r="F1007" s="2212" t="s">
        <v>5364</v>
      </c>
      <c r="H1007" s="2213">
        <v>21.34</v>
      </c>
      <c r="L1007" s="2210"/>
      <c r="M1007" s="2214"/>
      <c r="T1007" s="2215"/>
      <c r="AT1007" s="2211" t="s">
        <v>3303</v>
      </c>
      <c r="AU1007" s="2211" t="s">
        <v>134</v>
      </c>
      <c r="AV1007" s="2209" t="s">
        <v>134</v>
      </c>
      <c r="AW1007" s="2209" t="s">
        <v>3148</v>
      </c>
      <c r="AX1007" s="2209" t="s">
        <v>133</v>
      </c>
      <c r="AY1007" s="2211" t="s">
        <v>3285</v>
      </c>
    </row>
    <row r="1008" spans="2:65" s="2070" customFormat="1" ht="24.2" customHeight="1">
      <c r="B1008" s="2164"/>
      <c r="C1008" s="4614" t="s">
        <v>4591</v>
      </c>
      <c r="D1008" s="4614" t="s">
        <v>135</v>
      </c>
      <c r="E1008" s="4615" t="s">
        <v>11332</v>
      </c>
      <c r="F1008" s="4616" t="s">
        <v>11333</v>
      </c>
      <c r="G1008" s="4617" t="s">
        <v>302</v>
      </c>
      <c r="H1008" s="4618">
        <v>0.155</v>
      </c>
      <c r="I1008" s="4619"/>
      <c r="J1008" s="4619">
        <f>ROUND(I1008*H1008,2)</f>
        <v>0</v>
      </c>
      <c r="K1008" s="4616" t="s">
        <v>142</v>
      </c>
      <c r="L1008" s="2223"/>
      <c r="M1008" s="2224" t="s">
        <v>3146</v>
      </c>
      <c r="N1008" s="2225" t="s">
        <v>3181</v>
      </c>
      <c r="O1008" s="2191">
        <v>0</v>
      </c>
      <c r="P1008" s="2191">
        <f>O1008*H1008</f>
        <v>0</v>
      </c>
      <c r="Q1008" s="2191">
        <v>1</v>
      </c>
      <c r="R1008" s="2191">
        <f>Q1008*H1008</f>
        <v>0.155</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11334</v>
      </c>
    </row>
    <row r="1009" spans="2:65" s="2195" customFormat="1">
      <c r="B1009" s="2196"/>
      <c r="D1009" s="2197" t="s">
        <v>3303</v>
      </c>
      <c r="E1009" s="2198" t="s">
        <v>3146</v>
      </c>
      <c r="F1009" s="2199" t="s">
        <v>11330</v>
      </c>
      <c r="H1009" s="2198" t="s">
        <v>3146</v>
      </c>
      <c r="L1009" s="2196"/>
      <c r="M1009" s="2200"/>
      <c r="T1009" s="2201"/>
      <c r="AT1009" s="2198" t="s">
        <v>3303</v>
      </c>
      <c r="AU1009" s="2198" t="s">
        <v>134</v>
      </c>
      <c r="AV1009" s="2195" t="s">
        <v>133</v>
      </c>
      <c r="AW1009" s="2195" t="s">
        <v>3171</v>
      </c>
      <c r="AX1009" s="2195" t="s">
        <v>3213</v>
      </c>
      <c r="AY1009" s="2198" t="s">
        <v>3285</v>
      </c>
    </row>
    <row r="1010" spans="2:65" s="2209" customFormat="1">
      <c r="B1010" s="2210"/>
      <c r="D1010" s="2197" t="s">
        <v>3303</v>
      </c>
      <c r="E1010" s="2211" t="s">
        <v>3146</v>
      </c>
      <c r="F1010" s="2212" t="s">
        <v>11335</v>
      </c>
      <c r="H1010" s="2213">
        <v>0.155</v>
      </c>
      <c r="L1010" s="2210"/>
      <c r="M1010" s="2214"/>
      <c r="T1010" s="2215"/>
      <c r="AT1010" s="2211" t="s">
        <v>3303</v>
      </c>
      <c r="AU1010" s="2211" t="s">
        <v>134</v>
      </c>
      <c r="AV1010" s="2209" t="s">
        <v>134</v>
      </c>
      <c r="AW1010" s="2209" t="s">
        <v>3171</v>
      </c>
      <c r="AX1010" s="2209" t="s">
        <v>3213</v>
      </c>
      <c r="AY1010" s="2211" t="s">
        <v>3285</v>
      </c>
    </row>
    <row r="1011" spans="2:65" s="2216" customFormat="1">
      <c r="B1011" s="2217"/>
      <c r="D1011" s="2197" t="s">
        <v>3303</v>
      </c>
      <c r="E1011" s="2218" t="s">
        <v>3146</v>
      </c>
      <c r="F1011" s="2219" t="s">
        <v>3306</v>
      </c>
      <c r="H1011" s="2220">
        <v>0.155</v>
      </c>
      <c r="L1011" s="2217"/>
      <c r="M1011" s="2221"/>
      <c r="T1011" s="2222"/>
      <c r="AT1011" s="2218" t="s">
        <v>3303</v>
      </c>
      <c r="AU1011" s="2218" t="s">
        <v>134</v>
      </c>
      <c r="AV1011" s="2216" t="s">
        <v>856</v>
      </c>
      <c r="AW1011" s="2216" t="s">
        <v>3171</v>
      </c>
      <c r="AX1011" s="2216" t="s">
        <v>133</v>
      </c>
      <c r="AY1011" s="2218" t="s">
        <v>3285</v>
      </c>
    </row>
    <row r="1012" spans="2:65" s="2070" customFormat="1" ht="37.9" customHeight="1">
      <c r="B1012" s="2164"/>
      <c r="C1012" s="4608" t="s">
        <v>2943</v>
      </c>
      <c r="D1012" s="4608" t="s">
        <v>3286</v>
      </c>
      <c r="E1012" s="4609" t="s">
        <v>11336</v>
      </c>
      <c r="F1012" s="4610" t="s">
        <v>11337</v>
      </c>
      <c r="G1012" s="4611" t="s">
        <v>611</v>
      </c>
      <c r="H1012" s="4612">
        <v>23.12</v>
      </c>
      <c r="I1012" s="4613"/>
      <c r="J1012" s="4613">
        <f>ROUND(I1012*H1012,2)</f>
        <v>0</v>
      </c>
      <c r="K1012" s="4610" t="s">
        <v>142</v>
      </c>
      <c r="L1012" s="2071"/>
      <c r="M1012" s="2190" t="s">
        <v>3146</v>
      </c>
      <c r="N1012" s="2163" t="s">
        <v>3181</v>
      </c>
      <c r="O1012" s="2191">
        <v>0.82499999999999996</v>
      </c>
      <c r="P1012" s="2191">
        <f>O1012*H1012</f>
        <v>19.073999999999998</v>
      </c>
      <c r="Q1012" s="2191">
        <v>4.8999999999999998E-4</v>
      </c>
      <c r="R1012" s="2191">
        <f>Q1012*H1012</f>
        <v>1.13288E-2</v>
      </c>
      <c r="S1012" s="2191">
        <v>0</v>
      </c>
      <c r="T1012" s="2192">
        <f>S1012*H1012</f>
        <v>0</v>
      </c>
      <c r="AR1012" s="2193" t="s">
        <v>2894</v>
      </c>
      <c r="AT1012" s="2193" t="s">
        <v>3286</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11338</v>
      </c>
    </row>
    <row r="1013" spans="2:65" s="2195" customFormat="1">
      <c r="B1013" s="2196"/>
      <c r="D1013" s="2197" t="s">
        <v>3303</v>
      </c>
      <c r="E1013" s="2198" t="s">
        <v>3146</v>
      </c>
      <c r="F1013" s="2199" t="s">
        <v>11330</v>
      </c>
      <c r="H1013" s="2198" t="s">
        <v>3146</v>
      </c>
      <c r="L1013" s="2196"/>
      <c r="M1013" s="2200"/>
      <c r="T1013" s="2201"/>
      <c r="AT1013" s="2198" t="s">
        <v>3303</v>
      </c>
      <c r="AU1013" s="2198" t="s">
        <v>134</v>
      </c>
      <c r="AV1013" s="2195" t="s">
        <v>133</v>
      </c>
      <c r="AW1013" s="2195" t="s">
        <v>3171</v>
      </c>
      <c r="AX1013" s="2195" t="s">
        <v>3213</v>
      </c>
      <c r="AY1013" s="2198" t="s">
        <v>3285</v>
      </c>
    </row>
    <row r="1014" spans="2:65" s="2209" customFormat="1">
      <c r="B1014" s="2210"/>
      <c r="D1014" s="2197" t="s">
        <v>3303</v>
      </c>
      <c r="E1014" s="2211" t="s">
        <v>3146</v>
      </c>
      <c r="F1014" s="2212" t="s">
        <v>11339</v>
      </c>
      <c r="H1014" s="2213">
        <v>23.12</v>
      </c>
      <c r="L1014" s="2210"/>
      <c r="M1014" s="2214"/>
      <c r="T1014" s="2215"/>
      <c r="AT1014" s="2211" t="s">
        <v>3303</v>
      </c>
      <c r="AU1014" s="2211" t="s">
        <v>134</v>
      </c>
      <c r="AV1014" s="2209" t="s">
        <v>134</v>
      </c>
      <c r="AW1014" s="2209" t="s">
        <v>3171</v>
      </c>
      <c r="AX1014" s="2209" t="s">
        <v>3213</v>
      </c>
      <c r="AY1014" s="2211" t="s">
        <v>3285</v>
      </c>
    </row>
    <row r="1015" spans="2:65" s="2216" customFormat="1">
      <c r="B1015" s="2217"/>
      <c r="D1015" s="2197" t="s">
        <v>3303</v>
      </c>
      <c r="E1015" s="2218" t="s">
        <v>3146</v>
      </c>
      <c r="F1015" s="2219" t="s">
        <v>3306</v>
      </c>
      <c r="H1015" s="2220">
        <v>23.12</v>
      </c>
      <c r="L1015" s="2217"/>
      <c r="M1015" s="2221"/>
      <c r="T1015" s="2222"/>
      <c r="AT1015" s="2218" t="s">
        <v>3303</v>
      </c>
      <c r="AU1015" s="2218" t="s">
        <v>134</v>
      </c>
      <c r="AV1015" s="2216" t="s">
        <v>856</v>
      </c>
      <c r="AW1015" s="2216" t="s">
        <v>3171</v>
      </c>
      <c r="AX1015" s="2216" t="s">
        <v>133</v>
      </c>
      <c r="AY1015" s="2218" t="s">
        <v>3285</v>
      </c>
    </row>
    <row r="1016" spans="2:65" s="2070" customFormat="1" ht="24.2" customHeight="1">
      <c r="B1016" s="2164"/>
      <c r="C1016" s="4614" t="s">
        <v>4598</v>
      </c>
      <c r="D1016" s="4614" t="s">
        <v>135</v>
      </c>
      <c r="E1016" s="4615" t="s">
        <v>11340</v>
      </c>
      <c r="F1016" s="4616" t="s">
        <v>11341</v>
      </c>
      <c r="G1016" s="4617" t="s">
        <v>611</v>
      </c>
      <c r="H1016" s="4618">
        <v>25.431999999999999</v>
      </c>
      <c r="I1016" s="4619"/>
      <c r="J1016" s="4619">
        <f>ROUND(I1016*H1016,2)</f>
        <v>0</v>
      </c>
      <c r="K1016" s="4616" t="s">
        <v>3146</v>
      </c>
      <c r="L1016" s="2223"/>
      <c r="M1016" s="2224" t="s">
        <v>3146</v>
      </c>
      <c r="N1016" s="2225" t="s">
        <v>3181</v>
      </c>
      <c r="O1016" s="2191">
        <v>0</v>
      </c>
      <c r="P1016" s="2191">
        <f>O1016*H1016</f>
        <v>0</v>
      </c>
      <c r="Q1016" s="2191">
        <v>2.8000000000000001E-2</v>
      </c>
      <c r="R1016" s="2191">
        <f>Q1016*H1016</f>
        <v>0.71209599999999995</v>
      </c>
      <c r="S1016" s="2191">
        <v>0</v>
      </c>
      <c r="T1016" s="2192">
        <f>S1016*H1016</f>
        <v>0</v>
      </c>
      <c r="AR1016" s="2193" t="s">
        <v>3389</v>
      </c>
      <c r="AT1016" s="2193" t="s">
        <v>135</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11342</v>
      </c>
    </row>
    <row r="1017" spans="2:65" s="2209" customFormat="1">
      <c r="B1017" s="2210"/>
      <c r="D1017" s="2197" t="s">
        <v>3303</v>
      </c>
      <c r="F1017" s="2212" t="s">
        <v>11343</v>
      </c>
      <c r="H1017" s="2213">
        <v>25.431999999999999</v>
      </c>
      <c r="L1017" s="2210"/>
      <c r="M1017" s="2214"/>
      <c r="T1017" s="2215"/>
      <c r="AT1017" s="2211" t="s">
        <v>3303</v>
      </c>
      <c r="AU1017" s="2211" t="s">
        <v>134</v>
      </c>
      <c r="AV1017" s="2209" t="s">
        <v>134</v>
      </c>
      <c r="AW1017" s="2209" t="s">
        <v>3148</v>
      </c>
      <c r="AX1017" s="2209" t="s">
        <v>133</v>
      </c>
      <c r="AY1017" s="2211" t="s">
        <v>3285</v>
      </c>
    </row>
    <row r="1018" spans="2:65" s="2070" customFormat="1" ht="24.2" customHeight="1">
      <c r="B1018" s="2164"/>
      <c r="C1018" s="4608" t="s">
        <v>5081</v>
      </c>
      <c r="D1018" s="4608" t="s">
        <v>3286</v>
      </c>
      <c r="E1018" s="4609" t="s">
        <v>5365</v>
      </c>
      <c r="F1018" s="4610" t="s">
        <v>5366</v>
      </c>
      <c r="G1018" s="4611" t="s">
        <v>611</v>
      </c>
      <c r="H1018" s="4612">
        <v>7.2</v>
      </c>
      <c r="I1018" s="4613"/>
      <c r="J1018" s="4613">
        <f>ROUND(I1018*H1018,2)</f>
        <v>0</v>
      </c>
      <c r="K1018" s="4610" t="s">
        <v>142</v>
      </c>
      <c r="L1018" s="2071"/>
      <c r="M1018" s="2190" t="s">
        <v>3146</v>
      </c>
      <c r="N1018" s="2163" t="s">
        <v>3181</v>
      </c>
      <c r="O1018" s="2191">
        <v>1.8109999999999999</v>
      </c>
      <c r="P1018" s="2191">
        <f>O1018*H1018</f>
        <v>13.039199999999999</v>
      </c>
      <c r="Q1018" s="2191">
        <v>2.5999999999999998E-4</v>
      </c>
      <c r="R1018" s="2191">
        <f>Q1018*H1018</f>
        <v>1.872E-3</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5367</v>
      </c>
    </row>
    <row r="1019" spans="2:65" s="2195" customFormat="1">
      <c r="B1019" s="2196"/>
      <c r="D1019" s="2197" t="s">
        <v>3303</v>
      </c>
      <c r="E1019" s="2198" t="s">
        <v>3146</v>
      </c>
      <c r="F1019" s="2199" t="s">
        <v>5368</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5369</v>
      </c>
      <c r="H1020" s="2213">
        <v>3.6</v>
      </c>
      <c r="L1020" s="2210"/>
      <c r="M1020" s="2214"/>
      <c r="T1020" s="2215"/>
      <c r="AT1020" s="2211" t="s">
        <v>3303</v>
      </c>
      <c r="AU1020" s="2211" t="s">
        <v>134</v>
      </c>
      <c r="AV1020" s="2209" t="s">
        <v>134</v>
      </c>
      <c r="AW1020" s="2209" t="s">
        <v>3171</v>
      </c>
      <c r="AX1020" s="2209" t="s">
        <v>3213</v>
      </c>
      <c r="AY1020" s="2211" t="s">
        <v>3285</v>
      </c>
    </row>
    <row r="1021" spans="2:65" s="2195" customFormat="1">
      <c r="B1021" s="2196"/>
      <c r="D1021" s="2197" t="s">
        <v>3303</v>
      </c>
      <c r="E1021" s="2198" t="s">
        <v>3146</v>
      </c>
      <c r="F1021" s="2199" t="s">
        <v>5370</v>
      </c>
      <c r="H1021" s="2198" t="s">
        <v>3146</v>
      </c>
      <c r="L1021" s="2196"/>
      <c r="M1021" s="2200"/>
      <c r="T1021" s="2201"/>
      <c r="AT1021" s="2198" t="s">
        <v>3303</v>
      </c>
      <c r="AU1021" s="2198" t="s">
        <v>134</v>
      </c>
      <c r="AV1021" s="2195" t="s">
        <v>133</v>
      </c>
      <c r="AW1021" s="2195" t="s">
        <v>3171</v>
      </c>
      <c r="AX1021" s="2195" t="s">
        <v>3213</v>
      </c>
      <c r="AY1021" s="2198" t="s">
        <v>3285</v>
      </c>
    </row>
    <row r="1022" spans="2:65" s="2209" customFormat="1">
      <c r="B1022" s="2210"/>
      <c r="D1022" s="2197" t="s">
        <v>3303</v>
      </c>
      <c r="E1022" s="2211" t="s">
        <v>3146</v>
      </c>
      <c r="F1022" s="2212" t="s">
        <v>5369</v>
      </c>
      <c r="H1022" s="2213">
        <v>3.6</v>
      </c>
      <c r="L1022" s="2210"/>
      <c r="M1022" s="2214"/>
      <c r="T1022" s="2215"/>
      <c r="AT1022" s="2211" t="s">
        <v>3303</v>
      </c>
      <c r="AU1022" s="2211" t="s">
        <v>134</v>
      </c>
      <c r="AV1022" s="2209" t="s">
        <v>134</v>
      </c>
      <c r="AW1022" s="2209" t="s">
        <v>3171</v>
      </c>
      <c r="AX1022" s="2209" t="s">
        <v>3213</v>
      </c>
      <c r="AY1022" s="2211" t="s">
        <v>3285</v>
      </c>
    </row>
    <row r="1023" spans="2:65" s="2216" customFormat="1">
      <c r="B1023" s="2217"/>
      <c r="D1023" s="2197" t="s">
        <v>3303</v>
      </c>
      <c r="E1023" s="2218" t="s">
        <v>3146</v>
      </c>
      <c r="F1023" s="2219" t="s">
        <v>3306</v>
      </c>
      <c r="H1023" s="2220">
        <v>7.2</v>
      </c>
      <c r="L1023" s="2217"/>
      <c r="M1023" s="2221"/>
      <c r="T1023" s="2222"/>
      <c r="AT1023" s="2218" t="s">
        <v>3303</v>
      </c>
      <c r="AU1023" s="2218" t="s">
        <v>134</v>
      </c>
      <c r="AV1023" s="2216" t="s">
        <v>856</v>
      </c>
      <c r="AW1023" s="2216" t="s">
        <v>3171</v>
      </c>
      <c r="AX1023" s="2216" t="s">
        <v>133</v>
      </c>
      <c r="AY1023" s="2218" t="s">
        <v>3285</v>
      </c>
    </row>
    <row r="1024" spans="2:65" s="2070" customFormat="1" ht="16.5" customHeight="1">
      <c r="B1024" s="2164"/>
      <c r="C1024" s="4614" t="s">
        <v>5086</v>
      </c>
      <c r="D1024" s="4614" t="s">
        <v>135</v>
      </c>
      <c r="E1024" s="4615" t="s">
        <v>5371</v>
      </c>
      <c r="F1024" s="4616" t="s">
        <v>5372</v>
      </c>
      <c r="G1024" s="4617" t="s">
        <v>611</v>
      </c>
      <c r="H1024" s="4618">
        <v>7.2</v>
      </c>
      <c r="I1024" s="4619"/>
      <c r="J1024" s="4619">
        <f>ROUND(I1024*H1024,2)</f>
        <v>0</v>
      </c>
      <c r="K1024" s="4616" t="s">
        <v>3146</v>
      </c>
      <c r="L1024" s="2223"/>
      <c r="M1024" s="2224" t="s">
        <v>3146</v>
      </c>
      <c r="N1024" s="2225" t="s">
        <v>3181</v>
      </c>
      <c r="O1024" s="2191">
        <v>0</v>
      </c>
      <c r="P1024" s="2191">
        <f>O1024*H1024</f>
        <v>0</v>
      </c>
      <c r="Q1024" s="2191">
        <v>0</v>
      </c>
      <c r="R1024" s="2191">
        <f>Q1024*H1024</f>
        <v>0</v>
      </c>
      <c r="S1024" s="2191">
        <v>0</v>
      </c>
      <c r="T1024" s="2192">
        <f>S1024*H1024</f>
        <v>0</v>
      </c>
      <c r="AR1024" s="2193" t="s">
        <v>3389</v>
      </c>
      <c r="AT1024" s="2193" t="s">
        <v>135</v>
      </c>
      <c r="AU1024" s="2193" t="s">
        <v>134</v>
      </c>
      <c r="AY1024" s="2056" t="s">
        <v>3285</v>
      </c>
      <c r="BE1024" s="2194">
        <f>IF(N1024="základní",J1024,0)</f>
        <v>0</v>
      </c>
      <c r="BF1024" s="2194">
        <f>IF(N1024="snížená",J1024,0)</f>
        <v>0</v>
      </c>
      <c r="BG1024" s="2194">
        <f>IF(N1024="zákl. přenesená",J1024,0)</f>
        <v>0</v>
      </c>
      <c r="BH1024" s="2194">
        <f>IF(N1024="sníž. přenesená",J1024,0)</f>
        <v>0</v>
      </c>
      <c r="BI1024" s="2194">
        <f>IF(N1024="nulová",J1024,0)</f>
        <v>0</v>
      </c>
      <c r="BJ1024" s="2056" t="s">
        <v>134</v>
      </c>
      <c r="BK1024" s="2194">
        <f>ROUND(I1024*H1024,2)</f>
        <v>0</v>
      </c>
      <c r="BL1024" s="2056" t="s">
        <v>2894</v>
      </c>
      <c r="BM1024" s="2193" t="s">
        <v>5373</v>
      </c>
    </row>
    <row r="1025" spans="2:65" s="2070" customFormat="1" ht="24.2" customHeight="1">
      <c r="B1025" s="2164"/>
      <c r="C1025" s="4608" t="s">
        <v>5091</v>
      </c>
      <c r="D1025" s="4608" t="s">
        <v>3286</v>
      </c>
      <c r="E1025" s="4609" t="s">
        <v>5374</v>
      </c>
      <c r="F1025" s="4610" t="s">
        <v>5375</v>
      </c>
      <c r="G1025" s="4611" t="s">
        <v>611</v>
      </c>
      <c r="H1025" s="4612">
        <v>0.24</v>
      </c>
      <c r="I1025" s="4613"/>
      <c r="J1025" s="4613">
        <f>ROUND(I1025*H1025,2)</f>
        <v>0</v>
      </c>
      <c r="K1025" s="4610" t="s">
        <v>142</v>
      </c>
      <c r="L1025" s="2071"/>
      <c r="M1025" s="2190" t="s">
        <v>3146</v>
      </c>
      <c r="N1025" s="2163" t="s">
        <v>3181</v>
      </c>
      <c r="O1025" s="2191">
        <v>3.9289999999999998</v>
      </c>
      <c r="P1025" s="2191">
        <f>O1025*H1025</f>
        <v>0.94295999999999991</v>
      </c>
      <c r="Q1025" s="2191">
        <v>7.6000000000000004E-4</v>
      </c>
      <c r="R1025" s="2191">
        <f>Q1025*H1025</f>
        <v>1.8240000000000002E-4</v>
      </c>
      <c r="S1025" s="2191">
        <v>0</v>
      </c>
      <c r="T1025" s="2192">
        <f>S1025*H1025</f>
        <v>0</v>
      </c>
      <c r="AR1025" s="2193" t="s">
        <v>2894</v>
      </c>
      <c r="AT1025" s="2193" t="s">
        <v>3286</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5376</v>
      </c>
    </row>
    <row r="1026" spans="2:65" s="2195" customFormat="1">
      <c r="B1026" s="2196"/>
      <c r="D1026" s="2197" t="s">
        <v>3303</v>
      </c>
      <c r="E1026" s="2198" t="s">
        <v>3146</v>
      </c>
      <c r="F1026" s="2199" t="s">
        <v>5377</v>
      </c>
      <c r="H1026" s="2198" t="s">
        <v>3146</v>
      </c>
      <c r="L1026" s="2196"/>
      <c r="M1026" s="2200"/>
      <c r="T1026" s="2201"/>
      <c r="AT1026" s="2198" t="s">
        <v>3303</v>
      </c>
      <c r="AU1026" s="2198" t="s">
        <v>134</v>
      </c>
      <c r="AV1026" s="2195" t="s">
        <v>133</v>
      </c>
      <c r="AW1026" s="2195" t="s">
        <v>3171</v>
      </c>
      <c r="AX1026" s="2195" t="s">
        <v>3213</v>
      </c>
      <c r="AY1026" s="2198" t="s">
        <v>3285</v>
      </c>
    </row>
    <row r="1027" spans="2:65" s="2209" customFormat="1">
      <c r="B1027" s="2210"/>
      <c r="D1027" s="2197" t="s">
        <v>3303</v>
      </c>
      <c r="E1027" s="2211" t="s">
        <v>3146</v>
      </c>
      <c r="F1027" s="2212" t="s">
        <v>5378</v>
      </c>
      <c r="H1027" s="2213">
        <v>0.24</v>
      </c>
      <c r="L1027" s="2210"/>
      <c r="M1027" s="2214"/>
      <c r="T1027" s="2215"/>
      <c r="AT1027" s="2211" t="s">
        <v>3303</v>
      </c>
      <c r="AU1027" s="2211" t="s">
        <v>134</v>
      </c>
      <c r="AV1027" s="2209" t="s">
        <v>134</v>
      </c>
      <c r="AW1027" s="2209" t="s">
        <v>3171</v>
      </c>
      <c r="AX1027" s="2209" t="s">
        <v>3213</v>
      </c>
      <c r="AY1027" s="2211" t="s">
        <v>3285</v>
      </c>
    </row>
    <row r="1028" spans="2:65" s="2216" customFormat="1">
      <c r="B1028" s="2217"/>
      <c r="D1028" s="2197" t="s">
        <v>3303</v>
      </c>
      <c r="E1028" s="2218" t="s">
        <v>3146</v>
      </c>
      <c r="F1028" s="2219" t="s">
        <v>3306</v>
      </c>
      <c r="H1028" s="2220">
        <v>0.24</v>
      </c>
      <c r="L1028" s="2217"/>
      <c r="M1028" s="2221"/>
      <c r="T1028" s="2222"/>
      <c r="AT1028" s="2218" t="s">
        <v>3303</v>
      </c>
      <c r="AU1028" s="2218" t="s">
        <v>134</v>
      </c>
      <c r="AV1028" s="2216" t="s">
        <v>856</v>
      </c>
      <c r="AW1028" s="2216" t="s">
        <v>3171</v>
      </c>
      <c r="AX1028" s="2216" t="s">
        <v>133</v>
      </c>
      <c r="AY1028" s="2218" t="s">
        <v>3285</v>
      </c>
    </row>
    <row r="1029" spans="2:65" s="2070" customFormat="1" ht="24.2" customHeight="1">
      <c r="B1029" s="2164"/>
      <c r="C1029" s="4614" t="s">
        <v>5096</v>
      </c>
      <c r="D1029" s="4614" t="s">
        <v>135</v>
      </c>
      <c r="E1029" s="4615" t="s">
        <v>5379</v>
      </c>
      <c r="F1029" s="4616" t="s">
        <v>5380</v>
      </c>
      <c r="G1029" s="4617" t="s">
        <v>611</v>
      </c>
      <c r="H1029" s="4618">
        <v>0.3</v>
      </c>
      <c r="I1029" s="4619"/>
      <c r="J1029" s="4619">
        <f>ROUND(I1029*H1029,2)</f>
        <v>0</v>
      </c>
      <c r="K1029" s="4616" t="s">
        <v>3146</v>
      </c>
      <c r="L1029" s="2223"/>
      <c r="M1029" s="2224" t="s">
        <v>3146</v>
      </c>
      <c r="N1029" s="2225" t="s">
        <v>3181</v>
      </c>
      <c r="O1029" s="2191">
        <v>0</v>
      </c>
      <c r="P1029" s="2191">
        <f>O1029*H1029</f>
        <v>0</v>
      </c>
      <c r="Q1029" s="2191">
        <v>1.5970000000000002E-2</v>
      </c>
      <c r="R1029" s="2191">
        <f>Q1029*H1029</f>
        <v>4.7910000000000001E-3</v>
      </c>
      <c r="S1029" s="2191">
        <v>0</v>
      </c>
      <c r="T1029" s="2192">
        <f>S1029*H1029</f>
        <v>0</v>
      </c>
      <c r="AR1029" s="2193" t="s">
        <v>3389</v>
      </c>
      <c r="AT1029" s="2193" t="s">
        <v>135</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5381</v>
      </c>
    </row>
    <row r="1030" spans="2:65" s="2195" customFormat="1">
      <c r="B1030" s="2196"/>
      <c r="D1030" s="2197" t="s">
        <v>3303</v>
      </c>
      <c r="E1030" s="2198" t="s">
        <v>3146</v>
      </c>
      <c r="F1030" s="2199" t="s">
        <v>5377</v>
      </c>
      <c r="H1030" s="2198" t="s">
        <v>3146</v>
      </c>
      <c r="L1030" s="2196"/>
      <c r="M1030" s="2200"/>
      <c r="T1030" s="2201"/>
      <c r="AT1030" s="2198" t="s">
        <v>3303</v>
      </c>
      <c r="AU1030" s="2198" t="s">
        <v>134</v>
      </c>
      <c r="AV1030" s="2195" t="s">
        <v>133</v>
      </c>
      <c r="AW1030" s="2195" t="s">
        <v>3171</v>
      </c>
      <c r="AX1030" s="2195" t="s">
        <v>3213</v>
      </c>
      <c r="AY1030" s="2198" t="s">
        <v>3285</v>
      </c>
    </row>
    <row r="1031" spans="2:65" s="2209" customFormat="1">
      <c r="B1031" s="2210"/>
      <c r="D1031" s="2197" t="s">
        <v>3303</v>
      </c>
      <c r="E1031" s="2211" t="s">
        <v>3146</v>
      </c>
      <c r="F1031" s="2212" t="s">
        <v>5378</v>
      </c>
      <c r="H1031" s="2213">
        <v>0.24</v>
      </c>
      <c r="L1031" s="2210"/>
      <c r="M1031" s="2214"/>
      <c r="T1031" s="2215"/>
      <c r="AT1031" s="2211" t="s">
        <v>3303</v>
      </c>
      <c r="AU1031" s="2211" t="s">
        <v>134</v>
      </c>
      <c r="AV1031" s="2209" t="s">
        <v>134</v>
      </c>
      <c r="AW1031" s="2209" t="s">
        <v>3171</v>
      </c>
      <c r="AX1031" s="2209" t="s">
        <v>133</v>
      </c>
      <c r="AY1031" s="2211" t="s">
        <v>3285</v>
      </c>
    </row>
    <row r="1032" spans="2:65" s="2209" customFormat="1">
      <c r="B1032" s="2210"/>
      <c r="D1032" s="2197" t="s">
        <v>3303</v>
      </c>
      <c r="F1032" s="2212" t="s">
        <v>5382</v>
      </c>
      <c r="H1032" s="2213">
        <v>0.3</v>
      </c>
      <c r="L1032" s="2210"/>
      <c r="M1032" s="2214"/>
      <c r="T1032" s="2215"/>
      <c r="AT1032" s="2211" t="s">
        <v>3303</v>
      </c>
      <c r="AU1032" s="2211" t="s">
        <v>134</v>
      </c>
      <c r="AV1032" s="2209" t="s">
        <v>134</v>
      </c>
      <c r="AW1032" s="2209" t="s">
        <v>3148</v>
      </c>
      <c r="AX1032" s="2209" t="s">
        <v>133</v>
      </c>
      <c r="AY1032" s="2211" t="s">
        <v>3285</v>
      </c>
    </row>
    <row r="1033" spans="2:65" s="2070" customFormat="1" ht="33" customHeight="1">
      <c r="B1033" s="2164"/>
      <c r="C1033" s="4608" t="s">
        <v>5590</v>
      </c>
      <c r="D1033" s="4608" t="s">
        <v>3286</v>
      </c>
      <c r="E1033" s="4609" t="s">
        <v>5383</v>
      </c>
      <c r="F1033" s="4610" t="s">
        <v>5384</v>
      </c>
      <c r="G1033" s="4611" t="s">
        <v>611</v>
      </c>
      <c r="H1033" s="4612">
        <v>5</v>
      </c>
      <c r="I1033" s="4613"/>
      <c r="J1033" s="4613">
        <f>ROUND(I1033*H1033,2)</f>
        <v>0</v>
      </c>
      <c r="K1033" s="4610" t="s">
        <v>142</v>
      </c>
      <c r="L1033" s="2071"/>
      <c r="M1033" s="2190" t="s">
        <v>3146</v>
      </c>
      <c r="N1033" s="2163" t="s">
        <v>3181</v>
      </c>
      <c r="O1033" s="2191">
        <v>3.5659999999999998</v>
      </c>
      <c r="P1033" s="2191">
        <f>O1033*H1033</f>
        <v>17.829999999999998</v>
      </c>
      <c r="Q1033" s="2191">
        <v>6.6E-4</v>
      </c>
      <c r="R1033" s="2191">
        <f>Q1033*H1033</f>
        <v>3.3E-3</v>
      </c>
      <c r="S1033" s="2191">
        <v>0</v>
      </c>
      <c r="T1033" s="2192">
        <f>S1033*H1033</f>
        <v>0</v>
      </c>
      <c r="AR1033" s="2193" t="s">
        <v>856</v>
      </c>
      <c r="AT1033" s="2193" t="s">
        <v>3286</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f>ROUND(I1033*H1033,2)</f>
        <v>0</v>
      </c>
      <c r="BL1033" s="2056" t="s">
        <v>856</v>
      </c>
      <c r="BM1033" s="2193" t="s">
        <v>5385</v>
      </c>
    </row>
    <row r="1034" spans="2:65" s="2195" customFormat="1">
      <c r="B1034" s="2196"/>
      <c r="D1034" s="2197" t="s">
        <v>3303</v>
      </c>
      <c r="E1034" s="2198" t="s">
        <v>3146</v>
      </c>
      <c r="F1034" s="2199" t="s">
        <v>5041</v>
      </c>
      <c r="H1034" s="2198" t="s">
        <v>3146</v>
      </c>
      <c r="L1034" s="2196"/>
      <c r="M1034" s="2200"/>
      <c r="T1034" s="2201"/>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2212" t="s">
        <v>5386</v>
      </c>
      <c r="H1035" s="2213">
        <v>5</v>
      </c>
      <c r="L1035" s="2210"/>
      <c r="M1035" s="2214"/>
      <c r="T1035" s="2215"/>
      <c r="AT1035" s="2211" t="s">
        <v>3303</v>
      </c>
      <c r="AU1035" s="2211" t="s">
        <v>134</v>
      </c>
      <c r="AV1035" s="2209" t="s">
        <v>134</v>
      </c>
      <c r="AW1035" s="2209" t="s">
        <v>3171</v>
      </c>
      <c r="AX1035" s="2209" t="s">
        <v>133</v>
      </c>
      <c r="AY1035" s="2211" t="s">
        <v>3285</v>
      </c>
    </row>
    <row r="1036" spans="2:65" s="2070" customFormat="1" ht="16.5" customHeight="1">
      <c r="B1036" s="2164"/>
      <c r="C1036" s="4614" t="s">
        <v>5595</v>
      </c>
      <c r="D1036" s="4614" t="s">
        <v>135</v>
      </c>
      <c r="E1036" s="4615" t="s">
        <v>5387</v>
      </c>
      <c r="F1036" s="4616" t="s">
        <v>5388</v>
      </c>
      <c r="G1036" s="4617" t="s">
        <v>611</v>
      </c>
      <c r="H1036" s="4618">
        <v>5.5</v>
      </c>
      <c r="I1036" s="4619"/>
      <c r="J1036" s="4619">
        <f>ROUND(I1036*H1036,2)</f>
        <v>0</v>
      </c>
      <c r="K1036" s="4616" t="s">
        <v>142</v>
      </c>
      <c r="L1036" s="2223"/>
      <c r="M1036" s="2224" t="s">
        <v>3146</v>
      </c>
      <c r="N1036" s="2225" t="s">
        <v>3181</v>
      </c>
      <c r="O1036" s="2191">
        <v>0</v>
      </c>
      <c r="P1036" s="2191">
        <f>O1036*H1036</f>
        <v>0</v>
      </c>
      <c r="Q1036" s="2191">
        <v>2.5139999999999999E-2</v>
      </c>
      <c r="R1036" s="2191">
        <f>Q1036*H1036</f>
        <v>0.13827</v>
      </c>
      <c r="S1036" s="2191">
        <v>0</v>
      </c>
      <c r="T1036" s="2192">
        <f>S1036*H1036</f>
        <v>0</v>
      </c>
      <c r="AR1036" s="2193" t="s">
        <v>1363</v>
      </c>
      <c r="AT1036" s="2193" t="s">
        <v>135</v>
      </c>
      <c r="AU1036" s="2193" t="s">
        <v>134</v>
      </c>
      <c r="AY1036" s="2056" t="s">
        <v>3285</v>
      </c>
      <c r="BE1036" s="2194">
        <f>IF(N1036="základní",J1036,0)</f>
        <v>0</v>
      </c>
      <c r="BF1036" s="2194">
        <f>IF(N1036="snížená",J1036,0)</f>
        <v>0</v>
      </c>
      <c r="BG1036" s="2194">
        <f>IF(N1036="zákl. přenesená",J1036,0)</f>
        <v>0</v>
      </c>
      <c r="BH1036" s="2194">
        <f>IF(N1036="sníž. přenesená",J1036,0)</f>
        <v>0</v>
      </c>
      <c r="BI1036" s="2194">
        <f>IF(N1036="nulová",J1036,0)</f>
        <v>0</v>
      </c>
      <c r="BJ1036" s="2056" t="s">
        <v>134</v>
      </c>
      <c r="BK1036" s="2194">
        <f>ROUND(I1036*H1036,2)</f>
        <v>0</v>
      </c>
      <c r="BL1036" s="2056" t="s">
        <v>856</v>
      </c>
      <c r="BM1036" s="2193" t="s">
        <v>5389</v>
      </c>
    </row>
    <row r="1037" spans="2:65" s="2195" customFormat="1">
      <c r="B1037" s="2196"/>
      <c r="D1037" s="2197" t="s">
        <v>3303</v>
      </c>
      <c r="E1037" s="2198" t="s">
        <v>3146</v>
      </c>
      <c r="F1037" s="2199" t="s">
        <v>5041</v>
      </c>
      <c r="H1037" s="2198" t="s">
        <v>3146</v>
      </c>
      <c r="L1037" s="2196"/>
      <c r="M1037" s="2200"/>
      <c r="T1037" s="2201"/>
      <c r="AT1037" s="2198" t="s">
        <v>3303</v>
      </c>
      <c r="AU1037" s="2198" t="s">
        <v>134</v>
      </c>
      <c r="AV1037" s="2195" t="s">
        <v>133</v>
      </c>
      <c r="AW1037" s="2195" t="s">
        <v>3171</v>
      </c>
      <c r="AX1037" s="2195" t="s">
        <v>3213</v>
      </c>
      <c r="AY1037" s="2198" t="s">
        <v>3285</v>
      </c>
    </row>
    <row r="1038" spans="2:65" s="2209" customFormat="1">
      <c r="B1038" s="2210"/>
      <c r="D1038" s="2197" t="s">
        <v>3303</v>
      </c>
      <c r="E1038" s="2211" t="s">
        <v>3146</v>
      </c>
      <c r="F1038" s="2212" t="s">
        <v>5386</v>
      </c>
      <c r="H1038" s="2213">
        <v>5</v>
      </c>
      <c r="L1038" s="2210"/>
      <c r="M1038" s="2214"/>
      <c r="T1038" s="2215"/>
      <c r="AT1038" s="2211" t="s">
        <v>3303</v>
      </c>
      <c r="AU1038" s="2211" t="s">
        <v>134</v>
      </c>
      <c r="AV1038" s="2209" t="s">
        <v>134</v>
      </c>
      <c r="AW1038" s="2209" t="s">
        <v>3171</v>
      </c>
      <c r="AX1038" s="2209" t="s">
        <v>3213</v>
      </c>
      <c r="AY1038" s="2211" t="s">
        <v>3285</v>
      </c>
    </row>
    <row r="1039" spans="2:65" s="2216" customFormat="1">
      <c r="B1039" s="2217"/>
      <c r="D1039" s="2197" t="s">
        <v>3303</v>
      </c>
      <c r="E1039" s="2218" t="s">
        <v>3146</v>
      </c>
      <c r="F1039" s="2219" t="s">
        <v>3306</v>
      </c>
      <c r="H1039" s="2220">
        <v>5</v>
      </c>
      <c r="L1039" s="2217"/>
      <c r="M1039" s="2221"/>
      <c r="T1039" s="2222"/>
      <c r="AT1039" s="2218" t="s">
        <v>3303</v>
      </c>
      <c r="AU1039" s="2218" t="s">
        <v>134</v>
      </c>
      <c r="AV1039" s="2216" t="s">
        <v>856</v>
      </c>
      <c r="AW1039" s="2216" t="s">
        <v>3171</v>
      </c>
      <c r="AX1039" s="2216" t="s">
        <v>133</v>
      </c>
      <c r="AY1039" s="2218" t="s">
        <v>3285</v>
      </c>
    </row>
    <row r="1040" spans="2:65" s="2209" customFormat="1">
      <c r="B1040" s="2210"/>
      <c r="D1040" s="2197" t="s">
        <v>3303</v>
      </c>
      <c r="F1040" s="2212" t="s">
        <v>5390</v>
      </c>
      <c r="H1040" s="2213">
        <v>5.5</v>
      </c>
      <c r="L1040" s="2210"/>
      <c r="M1040" s="2214"/>
      <c r="T1040" s="2215"/>
      <c r="AT1040" s="2211" t="s">
        <v>3303</v>
      </c>
      <c r="AU1040" s="2211" t="s">
        <v>134</v>
      </c>
      <c r="AV1040" s="2209" t="s">
        <v>134</v>
      </c>
      <c r="AW1040" s="2209" t="s">
        <v>3148</v>
      </c>
      <c r="AX1040" s="2209" t="s">
        <v>133</v>
      </c>
      <c r="AY1040" s="2211" t="s">
        <v>3285</v>
      </c>
    </row>
    <row r="1041" spans="2:65" s="2070" customFormat="1" ht="33" customHeight="1">
      <c r="B1041" s="2164"/>
      <c r="C1041" s="4608" t="s">
        <v>5076</v>
      </c>
      <c r="D1041" s="4608" t="s">
        <v>3286</v>
      </c>
      <c r="E1041" s="4609" t="s">
        <v>5391</v>
      </c>
      <c r="F1041" s="4610" t="s">
        <v>5392</v>
      </c>
      <c r="G1041" s="4611" t="s">
        <v>611</v>
      </c>
      <c r="H1041" s="4612">
        <v>4</v>
      </c>
      <c r="I1041" s="4613"/>
      <c r="J1041" s="4613">
        <f>ROUND(I1041*H1041,2)</f>
        <v>0</v>
      </c>
      <c r="K1041" s="4610" t="s">
        <v>142</v>
      </c>
      <c r="L1041" s="2071"/>
      <c r="M1041" s="2190" t="s">
        <v>3146</v>
      </c>
      <c r="N1041" s="2163" t="s">
        <v>3181</v>
      </c>
      <c r="O1041" s="2191">
        <v>2.4460000000000002</v>
      </c>
      <c r="P1041" s="2191">
        <f>O1041*H1041</f>
        <v>9.7840000000000007</v>
      </c>
      <c r="Q1041" s="2191">
        <v>4.4999999999999999E-4</v>
      </c>
      <c r="R1041" s="2191">
        <f>Q1041*H1041</f>
        <v>1.8E-3</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5393</v>
      </c>
    </row>
    <row r="1042" spans="2:65" s="2195" customFormat="1">
      <c r="B1042" s="2196"/>
      <c r="D1042" s="2197" t="s">
        <v>3303</v>
      </c>
      <c r="E1042" s="2198" t="s">
        <v>3146</v>
      </c>
      <c r="F1042" s="2199" t="s">
        <v>5043</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2212" t="s">
        <v>5394</v>
      </c>
      <c r="H1043" s="2213">
        <v>4</v>
      </c>
      <c r="L1043" s="2210"/>
      <c r="M1043" s="2214"/>
      <c r="T1043" s="2215"/>
      <c r="AT1043" s="2211" t="s">
        <v>3303</v>
      </c>
      <c r="AU1043" s="2211" t="s">
        <v>134</v>
      </c>
      <c r="AV1043" s="2209" t="s">
        <v>134</v>
      </c>
      <c r="AW1043" s="2209" t="s">
        <v>3171</v>
      </c>
      <c r="AX1043" s="2209" t="s">
        <v>133</v>
      </c>
      <c r="AY1043" s="2211" t="s">
        <v>3285</v>
      </c>
    </row>
    <row r="1044" spans="2:65" s="2070" customFormat="1" ht="24.2" customHeight="1">
      <c r="B1044" s="2164"/>
      <c r="C1044" s="4614" t="s">
        <v>5665</v>
      </c>
      <c r="D1044" s="4614" t="s">
        <v>135</v>
      </c>
      <c r="E1044" s="4615" t="s">
        <v>5395</v>
      </c>
      <c r="F1044" s="4616" t="s">
        <v>5396</v>
      </c>
      <c r="G1044" s="4617" t="s">
        <v>611</v>
      </c>
      <c r="H1044" s="4618">
        <v>4.4000000000000004</v>
      </c>
      <c r="I1044" s="4619"/>
      <c r="J1044" s="4619">
        <f>ROUND(I1044*H1044,2)</f>
        <v>0</v>
      </c>
      <c r="K1044" s="4616" t="s">
        <v>142</v>
      </c>
      <c r="L1044" s="2223"/>
      <c r="M1044" s="2224" t="s">
        <v>3146</v>
      </c>
      <c r="N1044" s="2225" t="s">
        <v>3181</v>
      </c>
      <c r="O1044" s="2191">
        <v>0</v>
      </c>
      <c r="P1044" s="2191">
        <f>O1044*H1044</f>
        <v>0</v>
      </c>
      <c r="Q1044" s="2191">
        <v>2.7E-2</v>
      </c>
      <c r="R1044" s="2191">
        <f>Q1044*H1044</f>
        <v>0.1188</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5397</v>
      </c>
    </row>
    <row r="1045" spans="2:65" s="2195" customFormat="1">
      <c r="B1045" s="2196"/>
      <c r="D1045" s="2197" t="s">
        <v>3303</v>
      </c>
      <c r="E1045" s="2198" t="s">
        <v>3146</v>
      </c>
      <c r="F1045" s="2199" t="s">
        <v>5043</v>
      </c>
      <c r="H1045" s="2198" t="s">
        <v>3146</v>
      </c>
      <c r="L1045" s="2196"/>
      <c r="M1045" s="2200"/>
      <c r="T1045" s="2201"/>
      <c r="AT1045" s="2198" t="s">
        <v>3303</v>
      </c>
      <c r="AU1045" s="2198" t="s">
        <v>134</v>
      </c>
      <c r="AV1045" s="2195" t="s">
        <v>133</v>
      </c>
      <c r="AW1045" s="2195" t="s">
        <v>3171</v>
      </c>
      <c r="AX1045" s="2195" t="s">
        <v>3213</v>
      </c>
      <c r="AY1045" s="2198" t="s">
        <v>3285</v>
      </c>
    </row>
    <row r="1046" spans="2:65" s="2209" customFormat="1">
      <c r="B1046" s="2210"/>
      <c r="D1046" s="2197" t="s">
        <v>3303</v>
      </c>
      <c r="E1046" s="2211" t="s">
        <v>3146</v>
      </c>
      <c r="F1046" s="2212" t="s">
        <v>5394</v>
      </c>
      <c r="H1046" s="2213">
        <v>4</v>
      </c>
      <c r="L1046" s="2210"/>
      <c r="M1046" s="2214"/>
      <c r="T1046" s="2215"/>
      <c r="AT1046" s="2211" t="s">
        <v>3303</v>
      </c>
      <c r="AU1046" s="2211" t="s">
        <v>134</v>
      </c>
      <c r="AV1046" s="2209" t="s">
        <v>134</v>
      </c>
      <c r="AW1046" s="2209" t="s">
        <v>3171</v>
      </c>
      <c r="AX1046" s="2209" t="s">
        <v>3213</v>
      </c>
      <c r="AY1046" s="2211" t="s">
        <v>3285</v>
      </c>
    </row>
    <row r="1047" spans="2:65" s="2216" customFormat="1">
      <c r="B1047" s="2217"/>
      <c r="D1047" s="2197" t="s">
        <v>3303</v>
      </c>
      <c r="E1047" s="2218" t="s">
        <v>3146</v>
      </c>
      <c r="F1047" s="2219" t="s">
        <v>3306</v>
      </c>
      <c r="H1047" s="2220">
        <v>4</v>
      </c>
      <c r="L1047" s="2217"/>
      <c r="M1047" s="2221"/>
      <c r="T1047" s="2222"/>
      <c r="AT1047" s="2218" t="s">
        <v>3303</v>
      </c>
      <c r="AU1047" s="2218" t="s">
        <v>134</v>
      </c>
      <c r="AV1047" s="2216" t="s">
        <v>856</v>
      </c>
      <c r="AW1047" s="2216" t="s">
        <v>3171</v>
      </c>
      <c r="AX1047" s="2216" t="s">
        <v>133</v>
      </c>
      <c r="AY1047" s="2218" t="s">
        <v>3285</v>
      </c>
    </row>
    <row r="1048" spans="2:65" s="2209" customFormat="1">
      <c r="B1048" s="2210"/>
      <c r="D1048" s="2197" t="s">
        <v>3303</v>
      </c>
      <c r="F1048" s="2212" t="s">
        <v>5398</v>
      </c>
      <c r="H1048" s="2213">
        <v>4.4000000000000004</v>
      </c>
      <c r="L1048" s="2210"/>
      <c r="M1048" s="2214"/>
      <c r="T1048" s="2215"/>
      <c r="AT1048" s="2211" t="s">
        <v>3303</v>
      </c>
      <c r="AU1048" s="2211" t="s">
        <v>134</v>
      </c>
      <c r="AV1048" s="2209" t="s">
        <v>134</v>
      </c>
      <c r="AW1048" s="2209" t="s">
        <v>3148</v>
      </c>
      <c r="AX1048" s="2209" t="s">
        <v>133</v>
      </c>
      <c r="AY1048" s="2211" t="s">
        <v>3285</v>
      </c>
    </row>
    <row r="1049" spans="2:65" s="2070" customFormat="1" ht="24.2" customHeight="1">
      <c r="B1049" s="2164"/>
      <c r="C1049" s="4608" t="s">
        <v>5671</v>
      </c>
      <c r="D1049" s="4608" t="s">
        <v>3286</v>
      </c>
      <c r="E1049" s="4609" t="s">
        <v>5399</v>
      </c>
      <c r="F1049" s="4610" t="s">
        <v>5400</v>
      </c>
      <c r="G1049" s="4611" t="s">
        <v>611</v>
      </c>
      <c r="H1049" s="4612">
        <v>414.15</v>
      </c>
      <c r="I1049" s="4613"/>
      <c r="J1049" s="4613">
        <f>ROUND(I1049*H1049,2)</f>
        <v>0</v>
      </c>
      <c r="K1049" s="4610" t="s">
        <v>142</v>
      </c>
      <c r="L1049" s="2071"/>
      <c r="M1049" s="2190" t="s">
        <v>3146</v>
      </c>
      <c r="N1049" s="2163" t="s">
        <v>3181</v>
      </c>
      <c r="O1049" s="2191">
        <v>1.4970000000000001</v>
      </c>
      <c r="P1049" s="2191">
        <f>O1049*H1049</f>
        <v>619.98255000000006</v>
      </c>
      <c r="Q1049" s="2191">
        <v>1.7000000000000001E-4</v>
      </c>
      <c r="R1049" s="2191">
        <f>Q1049*H1049</f>
        <v>7.0405499999999996E-2</v>
      </c>
      <c r="S1049" s="2191">
        <v>0</v>
      </c>
      <c r="T1049" s="2192">
        <f>S1049*H1049</f>
        <v>0</v>
      </c>
      <c r="AR1049" s="2193" t="s">
        <v>2894</v>
      </c>
      <c r="AT1049" s="2193" t="s">
        <v>3286</v>
      </c>
      <c r="AU1049" s="2193" t="s">
        <v>134</v>
      </c>
      <c r="AY1049" s="2056" t="s">
        <v>3285</v>
      </c>
      <c r="BE1049" s="2194">
        <f>IF(N1049="základní",J1049,0)</f>
        <v>0</v>
      </c>
      <c r="BF1049" s="2194">
        <f>IF(N1049="snížená",J1049,0)</f>
        <v>0</v>
      </c>
      <c r="BG1049" s="2194">
        <f>IF(N1049="zákl. přenesená",J1049,0)</f>
        <v>0</v>
      </c>
      <c r="BH1049" s="2194">
        <f>IF(N1049="sníž. přenesená",J1049,0)</f>
        <v>0</v>
      </c>
      <c r="BI1049" s="2194">
        <f>IF(N1049="nulová",J1049,0)</f>
        <v>0</v>
      </c>
      <c r="BJ1049" s="2056" t="s">
        <v>134</v>
      </c>
      <c r="BK1049" s="2194">
        <f>ROUND(I1049*H1049,2)</f>
        <v>0</v>
      </c>
      <c r="BL1049" s="2056" t="s">
        <v>2894</v>
      </c>
      <c r="BM1049" s="2193" t="s">
        <v>5401</v>
      </c>
    </row>
    <row r="1050" spans="2:65" s="2195" customFormat="1">
      <c r="B1050" s="2196"/>
      <c r="D1050" s="2197" t="s">
        <v>3303</v>
      </c>
      <c r="E1050" s="2198" t="s">
        <v>3146</v>
      </c>
      <c r="F1050" s="2199" t="s">
        <v>5402</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5403</v>
      </c>
      <c r="H1051" s="2213">
        <v>2.75</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5404</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5405</v>
      </c>
      <c r="H1053" s="2213">
        <v>3.3</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5406</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5407</v>
      </c>
      <c r="H1055" s="2213">
        <v>5.5</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5408</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5409</v>
      </c>
      <c r="H1057" s="2213">
        <v>6.6</v>
      </c>
      <c r="L1057" s="2210"/>
      <c r="M1057" s="2214"/>
      <c r="T1057" s="2215"/>
      <c r="AT1057" s="2211" t="s">
        <v>3303</v>
      </c>
      <c r="AU1057" s="2211" t="s">
        <v>134</v>
      </c>
      <c r="AV1057" s="2209" t="s">
        <v>134</v>
      </c>
      <c r="AW1057" s="2209" t="s">
        <v>3171</v>
      </c>
      <c r="AX1057" s="2209" t="s">
        <v>3213</v>
      </c>
      <c r="AY1057" s="2211" t="s">
        <v>3285</v>
      </c>
    </row>
    <row r="1058" spans="2:51" s="2195" customFormat="1">
      <c r="B1058" s="2196"/>
      <c r="D1058" s="2197" t="s">
        <v>3303</v>
      </c>
      <c r="E1058" s="2198" t="s">
        <v>3146</v>
      </c>
      <c r="F1058" s="2199" t="s">
        <v>5410</v>
      </c>
      <c r="H1058" s="2198" t="s">
        <v>3146</v>
      </c>
      <c r="L1058" s="2196"/>
      <c r="M1058" s="2200"/>
      <c r="T1058" s="2201"/>
      <c r="AT1058" s="2198" t="s">
        <v>3303</v>
      </c>
      <c r="AU1058" s="2198" t="s">
        <v>134</v>
      </c>
      <c r="AV1058" s="2195" t="s">
        <v>133</v>
      </c>
      <c r="AW1058" s="2195" t="s">
        <v>3171</v>
      </c>
      <c r="AX1058" s="2195" t="s">
        <v>3213</v>
      </c>
      <c r="AY1058" s="2198" t="s">
        <v>3285</v>
      </c>
    </row>
    <row r="1059" spans="2:51" s="2209" customFormat="1">
      <c r="B1059" s="2210"/>
      <c r="D1059" s="2197" t="s">
        <v>3303</v>
      </c>
      <c r="E1059" s="2211" t="s">
        <v>3146</v>
      </c>
      <c r="F1059" s="2212" t="s">
        <v>5407</v>
      </c>
      <c r="H1059" s="2213">
        <v>5.5</v>
      </c>
      <c r="L1059" s="2210"/>
      <c r="M1059" s="2214"/>
      <c r="T1059" s="2215"/>
      <c r="AT1059" s="2211" t="s">
        <v>3303</v>
      </c>
      <c r="AU1059" s="2211" t="s">
        <v>134</v>
      </c>
      <c r="AV1059" s="2209" t="s">
        <v>134</v>
      </c>
      <c r="AW1059" s="2209" t="s">
        <v>3171</v>
      </c>
      <c r="AX1059" s="2209" t="s">
        <v>3213</v>
      </c>
      <c r="AY1059" s="2211" t="s">
        <v>3285</v>
      </c>
    </row>
    <row r="1060" spans="2:51" s="2202" customFormat="1">
      <c r="B1060" s="2203"/>
      <c r="D1060" s="2197" t="s">
        <v>3303</v>
      </c>
      <c r="E1060" s="2204" t="s">
        <v>3146</v>
      </c>
      <c r="F1060" s="2205" t="s">
        <v>3305</v>
      </c>
      <c r="H1060" s="2206">
        <v>23.65</v>
      </c>
      <c r="L1060" s="2203"/>
      <c r="M1060" s="2207"/>
      <c r="T1060" s="2208"/>
      <c r="AT1060" s="2204" t="s">
        <v>3303</v>
      </c>
      <c r="AU1060" s="2204" t="s">
        <v>134</v>
      </c>
      <c r="AV1060" s="2202" t="s">
        <v>854</v>
      </c>
      <c r="AW1060" s="2202" t="s">
        <v>3171</v>
      </c>
      <c r="AX1060" s="2202" t="s">
        <v>3213</v>
      </c>
      <c r="AY1060" s="2204" t="s">
        <v>3285</v>
      </c>
    </row>
    <row r="1061" spans="2:51" s="2195" customFormat="1">
      <c r="B1061" s="2196"/>
      <c r="D1061" s="2197" t="s">
        <v>3303</v>
      </c>
      <c r="E1061" s="2198" t="s">
        <v>3146</v>
      </c>
      <c r="F1061" s="2199" t="s">
        <v>5411</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5412</v>
      </c>
      <c r="H1062" s="2213">
        <v>99</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5413</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5414</v>
      </c>
      <c r="H1064" s="2213">
        <v>5.5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5415</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5416</v>
      </c>
      <c r="H1066" s="2213">
        <v>82.5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5417</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5418</v>
      </c>
      <c r="H1068" s="2213">
        <v>16.5</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5419</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5420</v>
      </c>
      <c r="H1070" s="2213">
        <v>66</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5421</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5414</v>
      </c>
      <c r="H1072" s="2213">
        <v>5.5</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5422</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5423</v>
      </c>
      <c r="H1074" s="2213">
        <v>88</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5424</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5414</v>
      </c>
      <c r="H1076" s="2213">
        <v>5.5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5425</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5418</v>
      </c>
      <c r="H1078" s="2213">
        <v>16.5</v>
      </c>
      <c r="L1078" s="2210"/>
      <c r="M1078" s="2214"/>
      <c r="T1078" s="2215"/>
      <c r="AT1078" s="2211" t="s">
        <v>3303</v>
      </c>
      <c r="AU1078" s="2211" t="s">
        <v>134</v>
      </c>
      <c r="AV1078" s="2209" t="s">
        <v>134</v>
      </c>
      <c r="AW1078" s="2209" t="s">
        <v>3171</v>
      </c>
      <c r="AX1078" s="2209" t="s">
        <v>3213</v>
      </c>
      <c r="AY1078" s="2211" t="s">
        <v>3285</v>
      </c>
    </row>
    <row r="1079" spans="2:65" s="2195" customFormat="1">
      <c r="B1079" s="2196"/>
      <c r="D1079" s="2197" t="s">
        <v>3303</v>
      </c>
      <c r="E1079" s="2198" t="s">
        <v>3146</v>
      </c>
      <c r="F1079" s="2199" t="s">
        <v>5426</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5414</v>
      </c>
      <c r="H1080" s="2213">
        <v>5.5</v>
      </c>
      <c r="L1080" s="2210"/>
      <c r="M1080" s="2214"/>
      <c r="T1080" s="2215"/>
      <c r="AT1080" s="2211" t="s">
        <v>3303</v>
      </c>
      <c r="AU1080" s="2211" t="s">
        <v>134</v>
      </c>
      <c r="AV1080" s="2209" t="s">
        <v>134</v>
      </c>
      <c r="AW1080" s="2209" t="s">
        <v>3171</v>
      </c>
      <c r="AX1080" s="2209" t="s">
        <v>3213</v>
      </c>
      <c r="AY1080" s="2211" t="s">
        <v>3285</v>
      </c>
    </row>
    <row r="1081" spans="2:65" s="2216" customFormat="1">
      <c r="B1081" s="2217"/>
      <c r="D1081" s="2197" t="s">
        <v>3303</v>
      </c>
      <c r="E1081" s="2218" t="s">
        <v>3146</v>
      </c>
      <c r="F1081" s="2219" t="s">
        <v>3306</v>
      </c>
      <c r="H1081" s="2220">
        <v>414.15</v>
      </c>
      <c r="L1081" s="2217"/>
      <c r="M1081" s="2221"/>
      <c r="T1081" s="2222"/>
      <c r="AT1081" s="2218" t="s">
        <v>3303</v>
      </c>
      <c r="AU1081" s="2218" t="s">
        <v>134</v>
      </c>
      <c r="AV1081" s="2216" t="s">
        <v>856</v>
      </c>
      <c r="AW1081" s="2216" t="s">
        <v>3171</v>
      </c>
      <c r="AX1081" s="2216" t="s">
        <v>133</v>
      </c>
      <c r="AY1081" s="2218" t="s">
        <v>3285</v>
      </c>
    </row>
    <row r="1082" spans="2:65" s="2070" customFormat="1" ht="24.2" customHeight="1">
      <c r="B1082" s="2164"/>
      <c r="C1082" s="4614" t="s">
        <v>5075</v>
      </c>
      <c r="D1082" s="4614" t="s">
        <v>135</v>
      </c>
      <c r="E1082" s="4615" t="s">
        <v>5427</v>
      </c>
      <c r="F1082" s="4616" t="s">
        <v>5428</v>
      </c>
      <c r="G1082" s="4617" t="s">
        <v>611</v>
      </c>
      <c r="H1082" s="4618">
        <v>455.565</v>
      </c>
      <c r="I1082" s="4619"/>
      <c r="J1082" s="4619">
        <f>ROUND(I1082*H1082,2)</f>
        <v>0</v>
      </c>
      <c r="K1082" s="4616" t="s">
        <v>142</v>
      </c>
      <c r="L1082" s="2223"/>
      <c r="M1082" s="2224" t="s">
        <v>3146</v>
      </c>
      <c r="N1082" s="2225" t="s">
        <v>3181</v>
      </c>
      <c r="O1082" s="2191">
        <v>0</v>
      </c>
      <c r="P1082" s="2191">
        <f>O1082*H1082</f>
        <v>0</v>
      </c>
      <c r="Q1082" s="2191">
        <v>2.741E-2</v>
      </c>
      <c r="R1082" s="2191">
        <f>Q1082*H1082</f>
        <v>12.48703665</v>
      </c>
      <c r="S1082" s="2191">
        <v>0</v>
      </c>
      <c r="T1082" s="2192">
        <f>S1082*H1082</f>
        <v>0</v>
      </c>
      <c r="AR1082" s="2193" t="s">
        <v>3389</v>
      </c>
      <c r="AT1082" s="2193" t="s">
        <v>135</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5429</v>
      </c>
    </row>
    <row r="1083" spans="2:65" s="2195" customFormat="1">
      <c r="B1083" s="2196"/>
      <c r="D1083" s="2197" t="s">
        <v>3303</v>
      </c>
      <c r="E1083" s="2198"/>
      <c r="F1083" s="2199" t="s">
        <v>5402</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5403</v>
      </c>
      <c r="H1084" s="2213">
        <v>2.75</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5404</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5405</v>
      </c>
      <c r="H1086" s="2213">
        <v>3.3</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5406</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5407</v>
      </c>
      <c r="H1088" s="2213">
        <v>5.5</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5408</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5409</v>
      </c>
      <c r="H1090" s="2213">
        <v>6.6</v>
      </c>
      <c r="L1090" s="2210"/>
      <c r="M1090" s="2214"/>
      <c r="T1090" s="2215"/>
      <c r="AT1090" s="2211" t="s">
        <v>3303</v>
      </c>
      <c r="AU1090" s="2211" t="s">
        <v>134</v>
      </c>
      <c r="AV1090" s="2209" t="s">
        <v>134</v>
      </c>
      <c r="AW1090" s="2209" t="s">
        <v>3171</v>
      </c>
      <c r="AX1090" s="2209" t="s">
        <v>3213</v>
      </c>
      <c r="AY1090" s="2211" t="s">
        <v>3285</v>
      </c>
    </row>
    <row r="1091" spans="2:51" s="2195" customFormat="1">
      <c r="B1091" s="2196"/>
      <c r="D1091" s="2197" t="s">
        <v>3303</v>
      </c>
      <c r="E1091" s="2198" t="s">
        <v>3146</v>
      </c>
      <c r="F1091" s="2199" t="s">
        <v>5410</v>
      </c>
      <c r="H1091" s="2198" t="s">
        <v>3146</v>
      </c>
      <c r="L1091" s="2196"/>
      <c r="M1091" s="2200"/>
      <c r="T1091" s="2201"/>
      <c r="AT1091" s="2198" t="s">
        <v>3303</v>
      </c>
      <c r="AU1091" s="2198" t="s">
        <v>134</v>
      </c>
      <c r="AV1091" s="2195" t="s">
        <v>133</v>
      </c>
      <c r="AW1091" s="2195" t="s">
        <v>3171</v>
      </c>
      <c r="AX1091" s="2195" t="s">
        <v>3213</v>
      </c>
      <c r="AY1091" s="2198" t="s">
        <v>3285</v>
      </c>
    </row>
    <row r="1092" spans="2:51" s="2209" customFormat="1">
      <c r="B1092" s="2210"/>
      <c r="D1092" s="2197" t="s">
        <v>3303</v>
      </c>
      <c r="E1092" s="2211" t="s">
        <v>3146</v>
      </c>
      <c r="F1092" s="2212" t="s">
        <v>5407</v>
      </c>
      <c r="H1092" s="2213">
        <v>5.5</v>
      </c>
      <c r="L1092" s="2210"/>
      <c r="M1092" s="2214"/>
      <c r="T1092" s="2215"/>
      <c r="AT1092" s="2211" t="s">
        <v>3303</v>
      </c>
      <c r="AU1092" s="2211" t="s">
        <v>134</v>
      </c>
      <c r="AV1092" s="2209" t="s">
        <v>134</v>
      </c>
      <c r="AW1092" s="2209" t="s">
        <v>3171</v>
      </c>
      <c r="AX1092" s="2209" t="s">
        <v>3213</v>
      </c>
      <c r="AY1092" s="2211" t="s">
        <v>3285</v>
      </c>
    </row>
    <row r="1093" spans="2:51" s="2202" customFormat="1">
      <c r="B1093" s="2203"/>
      <c r="D1093" s="2197" t="s">
        <v>3303</v>
      </c>
      <c r="E1093" s="2204" t="s">
        <v>3146</v>
      </c>
      <c r="F1093" s="2205" t="s">
        <v>3305</v>
      </c>
      <c r="H1093" s="2206">
        <v>23.65</v>
      </c>
      <c r="L1093" s="2203"/>
      <c r="M1093" s="2207"/>
      <c r="T1093" s="2208"/>
      <c r="AT1093" s="2204" t="s">
        <v>3303</v>
      </c>
      <c r="AU1093" s="2204" t="s">
        <v>134</v>
      </c>
      <c r="AV1093" s="2202" t="s">
        <v>854</v>
      </c>
      <c r="AW1093" s="2202" t="s">
        <v>3171</v>
      </c>
      <c r="AX1093" s="2202" t="s">
        <v>3213</v>
      </c>
      <c r="AY1093" s="2204" t="s">
        <v>3285</v>
      </c>
    </row>
    <row r="1094" spans="2:51" s="2195" customFormat="1">
      <c r="B1094" s="2196"/>
      <c r="D1094" s="2197" t="s">
        <v>3303</v>
      </c>
      <c r="E1094" s="2198" t="s">
        <v>3146</v>
      </c>
      <c r="F1094" s="2199" t="s">
        <v>5411</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5412</v>
      </c>
      <c r="H1095" s="2213">
        <v>99</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5413</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5414</v>
      </c>
      <c r="H1097" s="2213">
        <v>5.5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5415</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5416</v>
      </c>
      <c r="H1099" s="2213">
        <v>82.5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5417</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5418</v>
      </c>
      <c r="H1101" s="2213">
        <v>16.5</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5419</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5420</v>
      </c>
      <c r="H1103" s="2213">
        <v>66</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5421</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5414</v>
      </c>
      <c r="H1105" s="2213">
        <v>5.5</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5422</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5423</v>
      </c>
      <c r="H1107" s="2213">
        <v>88</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5424</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5414</v>
      </c>
      <c r="H1109" s="2213">
        <v>5.5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5425</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5418</v>
      </c>
      <c r="H1111" s="2213">
        <v>16.5</v>
      </c>
      <c r="L1111" s="2210"/>
      <c r="M1111" s="2214"/>
      <c r="T1111" s="2215"/>
      <c r="AT1111" s="2211" t="s">
        <v>3303</v>
      </c>
      <c r="AU1111" s="2211" t="s">
        <v>134</v>
      </c>
      <c r="AV1111" s="2209" t="s">
        <v>134</v>
      </c>
      <c r="AW1111" s="2209" t="s">
        <v>3171</v>
      </c>
      <c r="AX1111" s="2209" t="s">
        <v>3213</v>
      </c>
      <c r="AY1111" s="2211" t="s">
        <v>3285</v>
      </c>
    </row>
    <row r="1112" spans="2:65" s="2195" customFormat="1">
      <c r="B1112" s="2196"/>
      <c r="D1112" s="2197" t="s">
        <v>3303</v>
      </c>
      <c r="E1112" s="2198" t="s">
        <v>3146</v>
      </c>
      <c r="F1112" s="2199" t="s">
        <v>5426</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5414</v>
      </c>
      <c r="H1113" s="2213">
        <v>5.5</v>
      </c>
      <c r="L1113" s="2210"/>
      <c r="M1113" s="2214"/>
      <c r="T1113" s="2215"/>
      <c r="AT1113" s="2211" t="s">
        <v>3303</v>
      </c>
      <c r="AU1113" s="2211" t="s">
        <v>134</v>
      </c>
      <c r="AV1113" s="2209" t="s">
        <v>134</v>
      </c>
      <c r="AW1113" s="2209" t="s">
        <v>3171</v>
      </c>
      <c r="AX1113" s="2209" t="s">
        <v>3213</v>
      </c>
      <c r="AY1113" s="2211" t="s">
        <v>3285</v>
      </c>
    </row>
    <row r="1114" spans="2:65" s="2202" customFormat="1">
      <c r="B1114" s="2203"/>
      <c r="D1114" s="2197" t="s">
        <v>3303</v>
      </c>
      <c r="E1114" s="2204" t="s">
        <v>3146</v>
      </c>
      <c r="F1114" s="2205" t="s">
        <v>3305</v>
      </c>
      <c r="H1114" s="2206">
        <v>390.5</v>
      </c>
      <c r="L1114" s="2203"/>
      <c r="M1114" s="2207"/>
      <c r="T1114" s="2208"/>
      <c r="AT1114" s="2204" t="s">
        <v>3303</v>
      </c>
      <c r="AU1114" s="2204" t="s">
        <v>134</v>
      </c>
      <c r="AV1114" s="2202" t="s">
        <v>854</v>
      </c>
      <c r="AW1114" s="2202" t="s">
        <v>3171</v>
      </c>
      <c r="AX1114" s="2202" t="s">
        <v>3213</v>
      </c>
      <c r="AY1114" s="2204" t="s">
        <v>3285</v>
      </c>
    </row>
    <row r="1115" spans="2:65" s="2216" customFormat="1">
      <c r="B1115" s="2217"/>
      <c r="D1115" s="2197" t="s">
        <v>3303</v>
      </c>
      <c r="E1115" s="2218" t="s">
        <v>3146</v>
      </c>
      <c r="F1115" s="2219" t="s">
        <v>3306</v>
      </c>
      <c r="H1115" s="2220">
        <v>414.15</v>
      </c>
      <c r="L1115" s="2217"/>
      <c r="M1115" s="2221"/>
      <c r="T1115" s="2222"/>
      <c r="AT1115" s="2218" t="s">
        <v>3303</v>
      </c>
      <c r="AU1115" s="2218" t="s">
        <v>134</v>
      </c>
      <c r="AV1115" s="2216" t="s">
        <v>856</v>
      </c>
      <c r="AW1115" s="2216" t="s">
        <v>3171</v>
      </c>
      <c r="AX1115" s="2216" t="s">
        <v>133</v>
      </c>
      <c r="AY1115" s="2218" t="s">
        <v>3285</v>
      </c>
    </row>
    <row r="1116" spans="2:65" s="2209" customFormat="1">
      <c r="B1116" s="2210"/>
      <c r="D1116" s="2197" t="s">
        <v>3303</v>
      </c>
      <c r="F1116" s="2212" t="s">
        <v>5430</v>
      </c>
      <c r="H1116" s="2213">
        <v>455.565</v>
      </c>
      <c r="L1116" s="2210"/>
      <c r="M1116" s="2214"/>
      <c r="T1116" s="2215"/>
      <c r="AT1116" s="2211" t="s">
        <v>3303</v>
      </c>
      <c r="AU1116" s="2211" t="s">
        <v>134</v>
      </c>
      <c r="AV1116" s="2209" t="s">
        <v>134</v>
      </c>
      <c r="AW1116" s="2209" t="s">
        <v>3148</v>
      </c>
      <c r="AX1116" s="2209" t="s">
        <v>133</v>
      </c>
      <c r="AY1116" s="2211" t="s">
        <v>3285</v>
      </c>
    </row>
    <row r="1117" spans="2:65" s="2070" customFormat="1" ht="24.2" customHeight="1">
      <c r="B1117" s="2164"/>
      <c r="C1117" s="4608" t="s">
        <v>4603</v>
      </c>
      <c r="D1117" s="4608" t="s">
        <v>3286</v>
      </c>
      <c r="E1117" s="4609" t="s">
        <v>5431</v>
      </c>
      <c r="F1117" s="4610" t="s">
        <v>5432</v>
      </c>
      <c r="G1117" s="4611" t="s">
        <v>611</v>
      </c>
      <c r="H1117" s="4612">
        <v>66</v>
      </c>
      <c r="I1117" s="4613"/>
      <c r="J1117" s="4613">
        <f>ROUND(I1117*H1117,2)</f>
        <v>0</v>
      </c>
      <c r="K1117" s="4610" t="s">
        <v>142</v>
      </c>
      <c r="L1117" s="2071"/>
      <c r="M1117" s="2190" t="s">
        <v>3146</v>
      </c>
      <c r="N1117" s="2163" t="s">
        <v>3181</v>
      </c>
      <c r="O1117" s="2191">
        <v>1.8149999999999999</v>
      </c>
      <c r="P1117" s="2191">
        <f>O1117*H1117</f>
        <v>119.78999999999999</v>
      </c>
      <c r="Q1117" s="2191">
        <v>2.5999999999999998E-4</v>
      </c>
      <c r="R1117" s="2191">
        <f>Q1117*H1117</f>
        <v>1.7159999999999998E-2</v>
      </c>
      <c r="S1117" s="2191">
        <v>0</v>
      </c>
      <c r="T1117" s="2192">
        <f>S1117*H1117</f>
        <v>0</v>
      </c>
      <c r="AR1117" s="2193" t="s">
        <v>2894</v>
      </c>
      <c r="AT1117" s="2193" t="s">
        <v>3286</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5433</v>
      </c>
    </row>
    <row r="1118" spans="2:65" s="2195" customFormat="1">
      <c r="B1118" s="2196"/>
      <c r="D1118" s="2197" t="s">
        <v>3303</v>
      </c>
      <c r="E1118" s="2198" t="s">
        <v>3146</v>
      </c>
      <c r="F1118" s="2199" t="s">
        <v>5434</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5435</v>
      </c>
      <c r="H1119" s="2213">
        <v>11</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5436</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5437</v>
      </c>
      <c r="H1121" s="2213">
        <v>27.5</v>
      </c>
      <c r="L1121" s="2210"/>
      <c r="M1121" s="2214"/>
      <c r="T1121" s="2215"/>
      <c r="AT1121" s="2211" t="s">
        <v>3303</v>
      </c>
      <c r="AU1121" s="2211" t="s">
        <v>134</v>
      </c>
      <c r="AV1121" s="2209" t="s">
        <v>134</v>
      </c>
      <c r="AW1121" s="2209" t="s">
        <v>3171</v>
      </c>
      <c r="AX1121" s="2209" t="s">
        <v>3213</v>
      </c>
      <c r="AY1121" s="2211" t="s">
        <v>3285</v>
      </c>
    </row>
    <row r="1122" spans="2:65" s="2195" customFormat="1">
      <c r="B1122" s="2196"/>
      <c r="D1122" s="2197" t="s">
        <v>3303</v>
      </c>
      <c r="E1122" s="2198" t="s">
        <v>3146</v>
      </c>
      <c r="F1122" s="2199" t="s">
        <v>5438</v>
      </c>
      <c r="H1122" s="2198" t="s">
        <v>3146</v>
      </c>
      <c r="L1122" s="2196"/>
      <c r="M1122" s="2200"/>
      <c r="T1122" s="2201"/>
      <c r="AT1122" s="2198" t="s">
        <v>3303</v>
      </c>
      <c r="AU1122" s="2198" t="s">
        <v>134</v>
      </c>
      <c r="AV1122" s="2195" t="s">
        <v>133</v>
      </c>
      <c r="AW1122" s="2195" t="s">
        <v>3171</v>
      </c>
      <c r="AX1122" s="2195" t="s">
        <v>3213</v>
      </c>
      <c r="AY1122" s="2198" t="s">
        <v>3285</v>
      </c>
    </row>
    <row r="1123" spans="2:65" s="2209" customFormat="1">
      <c r="B1123" s="2210"/>
      <c r="D1123" s="2197" t="s">
        <v>3303</v>
      </c>
      <c r="E1123" s="2211" t="s">
        <v>3146</v>
      </c>
      <c r="F1123" s="2212" t="s">
        <v>5437</v>
      </c>
      <c r="H1123" s="2213">
        <v>27.5</v>
      </c>
      <c r="L1123" s="2210"/>
      <c r="M1123" s="2214"/>
      <c r="T1123" s="2215"/>
      <c r="AT1123" s="2211" t="s">
        <v>3303</v>
      </c>
      <c r="AU1123" s="2211" t="s">
        <v>134</v>
      </c>
      <c r="AV1123" s="2209" t="s">
        <v>134</v>
      </c>
      <c r="AW1123" s="2209" t="s">
        <v>3171</v>
      </c>
      <c r="AX1123" s="2209" t="s">
        <v>3213</v>
      </c>
      <c r="AY1123" s="2211" t="s">
        <v>3285</v>
      </c>
    </row>
    <row r="1124" spans="2:65" s="2216" customFormat="1">
      <c r="B1124" s="2217"/>
      <c r="D1124" s="2197" t="s">
        <v>3303</v>
      </c>
      <c r="E1124" s="2218" t="s">
        <v>3146</v>
      </c>
      <c r="F1124" s="2219" t="s">
        <v>3306</v>
      </c>
      <c r="H1124" s="2220">
        <v>66</v>
      </c>
      <c r="L1124" s="2217"/>
      <c r="M1124" s="2221"/>
      <c r="T1124" s="2222"/>
      <c r="AT1124" s="2218" t="s">
        <v>3303</v>
      </c>
      <c r="AU1124" s="2218" t="s">
        <v>134</v>
      </c>
      <c r="AV1124" s="2216" t="s">
        <v>856</v>
      </c>
      <c r="AW1124" s="2216" t="s">
        <v>3171</v>
      </c>
      <c r="AX1124" s="2216" t="s">
        <v>133</v>
      </c>
      <c r="AY1124" s="2218" t="s">
        <v>3285</v>
      </c>
    </row>
    <row r="1125" spans="2:65" s="2070" customFormat="1" ht="24.2" customHeight="1">
      <c r="B1125" s="2164"/>
      <c r="C1125" s="4614" t="s">
        <v>4608</v>
      </c>
      <c r="D1125" s="4614" t="s">
        <v>135</v>
      </c>
      <c r="E1125" s="4615" t="s">
        <v>5427</v>
      </c>
      <c r="F1125" s="4616" t="s">
        <v>5428</v>
      </c>
      <c r="G1125" s="4617" t="s">
        <v>611</v>
      </c>
      <c r="H1125" s="4618">
        <v>72.599999999999994</v>
      </c>
      <c r="I1125" s="4619"/>
      <c r="J1125" s="4619">
        <f>ROUND(I1125*H1125,2)</f>
        <v>0</v>
      </c>
      <c r="K1125" s="4616" t="s">
        <v>142</v>
      </c>
      <c r="L1125" s="2223"/>
      <c r="M1125" s="2224" t="s">
        <v>3146</v>
      </c>
      <c r="N1125" s="2225" t="s">
        <v>3181</v>
      </c>
      <c r="O1125" s="2191">
        <v>0</v>
      </c>
      <c r="P1125" s="2191">
        <f>O1125*H1125</f>
        <v>0</v>
      </c>
      <c r="Q1125" s="2191">
        <v>2.741E-2</v>
      </c>
      <c r="R1125" s="2191">
        <f>Q1125*H1125</f>
        <v>1.9899659999999999</v>
      </c>
      <c r="S1125" s="2191">
        <v>0</v>
      </c>
      <c r="T1125" s="2192">
        <f>S1125*H1125</f>
        <v>0</v>
      </c>
      <c r="AR1125" s="2193" t="s">
        <v>3389</v>
      </c>
      <c r="AT1125" s="2193" t="s">
        <v>135</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5439</v>
      </c>
    </row>
    <row r="1126" spans="2:65" s="2195" customFormat="1">
      <c r="B1126" s="2196"/>
      <c r="D1126" s="2197" t="s">
        <v>3303</v>
      </c>
      <c r="E1126" s="2198" t="s">
        <v>3146</v>
      </c>
      <c r="F1126" s="2199" t="s">
        <v>5434</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5435</v>
      </c>
      <c r="H1127" s="2213">
        <v>11</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5436</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5437</v>
      </c>
      <c r="H1129" s="2213">
        <v>27.5</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5438</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5437</v>
      </c>
      <c r="H1131" s="2213">
        <v>27.5</v>
      </c>
      <c r="L1131" s="2210"/>
      <c r="M1131" s="2214"/>
      <c r="T1131" s="2215"/>
      <c r="AT1131" s="2211" t="s">
        <v>3303</v>
      </c>
      <c r="AU1131" s="2211" t="s">
        <v>134</v>
      </c>
      <c r="AV1131" s="2209" t="s">
        <v>134</v>
      </c>
      <c r="AW1131" s="2209" t="s">
        <v>3171</v>
      </c>
      <c r="AX1131" s="2209" t="s">
        <v>3213</v>
      </c>
      <c r="AY1131" s="2211" t="s">
        <v>3285</v>
      </c>
    </row>
    <row r="1132" spans="2:65" s="2216" customFormat="1">
      <c r="B1132" s="2217"/>
      <c r="D1132" s="2197" t="s">
        <v>3303</v>
      </c>
      <c r="E1132" s="2218" t="s">
        <v>3146</v>
      </c>
      <c r="F1132" s="2219" t="s">
        <v>3306</v>
      </c>
      <c r="H1132" s="2220">
        <v>66</v>
      </c>
      <c r="L1132" s="2217"/>
      <c r="M1132" s="2221"/>
      <c r="T1132" s="2222"/>
      <c r="AT1132" s="2218" t="s">
        <v>3303</v>
      </c>
      <c r="AU1132" s="2218" t="s">
        <v>134</v>
      </c>
      <c r="AV1132" s="2216" t="s">
        <v>856</v>
      </c>
      <c r="AW1132" s="2216" t="s">
        <v>3171</v>
      </c>
      <c r="AX1132" s="2216" t="s">
        <v>133</v>
      </c>
      <c r="AY1132" s="2218" t="s">
        <v>3285</v>
      </c>
    </row>
    <row r="1133" spans="2:65" s="2209" customFormat="1">
      <c r="B1133" s="2210"/>
      <c r="D1133" s="2197" t="s">
        <v>3303</v>
      </c>
      <c r="F1133" s="2212" t="s">
        <v>5440</v>
      </c>
      <c r="H1133" s="2213">
        <v>72.599999999999994</v>
      </c>
      <c r="L1133" s="2210"/>
      <c r="M1133" s="2214"/>
      <c r="T1133" s="2215"/>
      <c r="AT1133" s="2211" t="s">
        <v>3303</v>
      </c>
      <c r="AU1133" s="2211" t="s">
        <v>134</v>
      </c>
      <c r="AV1133" s="2209" t="s">
        <v>134</v>
      </c>
      <c r="AW1133" s="2209" t="s">
        <v>3148</v>
      </c>
      <c r="AX1133" s="2209" t="s">
        <v>133</v>
      </c>
      <c r="AY1133" s="2211" t="s">
        <v>3285</v>
      </c>
    </row>
    <row r="1134" spans="2:65" s="2070" customFormat="1" ht="16.5" customHeight="1">
      <c r="B1134" s="2164"/>
      <c r="C1134" s="4608" t="s">
        <v>4610</v>
      </c>
      <c r="D1134" s="4608" t="s">
        <v>3286</v>
      </c>
      <c r="E1134" s="4609" t="s">
        <v>5441</v>
      </c>
      <c r="F1134" s="4610" t="s">
        <v>5442</v>
      </c>
      <c r="G1134" s="4611" t="s">
        <v>155</v>
      </c>
      <c r="H1134" s="4612">
        <v>13</v>
      </c>
      <c r="I1134" s="4613"/>
      <c r="J1134" s="4613">
        <f>ROUND(I1134*H1134,2)</f>
        <v>0</v>
      </c>
      <c r="K1134" s="4610" t="s">
        <v>142</v>
      </c>
      <c r="L1134" s="2071"/>
      <c r="M1134" s="2190" t="s">
        <v>3146</v>
      </c>
      <c r="N1134" s="2163" t="s">
        <v>3181</v>
      </c>
      <c r="O1134" s="2191">
        <v>0.36399999999999999</v>
      </c>
      <c r="P1134" s="2191">
        <f>O1134*H1134</f>
        <v>4.7320000000000002</v>
      </c>
      <c r="Q1134" s="2191">
        <v>0</v>
      </c>
      <c r="R1134" s="2191">
        <f>Q1134*H1134</f>
        <v>0</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5443</v>
      </c>
    </row>
    <row r="1135" spans="2:65" s="2195" customFormat="1">
      <c r="B1135" s="2196"/>
      <c r="D1135" s="2197" t="s">
        <v>3303</v>
      </c>
      <c r="E1135" s="2198" t="s">
        <v>3146</v>
      </c>
      <c r="F1135" s="2199" t="s">
        <v>5041</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858</v>
      </c>
      <c r="H1136" s="2213">
        <v>5</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5043</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5413</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5421</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195" customFormat="1">
      <c r="B1143" s="2196"/>
      <c r="D1143" s="2197" t="s">
        <v>3303</v>
      </c>
      <c r="E1143" s="2198" t="s">
        <v>3146</v>
      </c>
      <c r="F1143" s="2199" t="s">
        <v>5426</v>
      </c>
      <c r="H1143" s="2198" t="s">
        <v>3146</v>
      </c>
      <c r="L1143" s="2196"/>
      <c r="M1143" s="2200"/>
      <c r="T1143" s="2201"/>
      <c r="AT1143" s="2198" t="s">
        <v>3303</v>
      </c>
      <c r="AU1143" s="2198" t="s">
        <v>134</v>
      </c>
      <c r="AV1143" s="2195" t="s">
        <v>133</v>
      </c>
      <c r="AW1143" s="2195" t="s">
        <v>3171</v>
      </c>
      <c r="AX1143" s="2195" t="s">
        <v>3213</v>
      </c>
      <c r="AY1143" s="2198" t="s">
        <v>3285</v>
      </c>
    </row>
    <row r="1144" spans="2:65" s="2209" customFormat="1">
      <c r="B1144" s="2210"/>
      <c r="D1144" s="2197" t="s">
        <v>3303</v>
      </c>
      <c r="E1144" s="2211" t="s">
        <v>3146</v>
      </c>
      <c r="F1144" s="2212" t="s">
        <v>134</v>
      </c>
      <c r="H1144" s="2213">
        <v>2</v>
      </c>
      <c r="L1144" s="2210"/>
      <c r="M1144" s="2214"/>
      <c r="T1144" s="2215"/>
      <c r="AT1144" s="2211" t="s">
        <v>3303</v>
      </c>
      <c r="AU1144" s="2211" t="s">
        <v>134</v>
      </c>
      <c r="AV1144" s="2209" t="s">
        <v>134</v>
      </c>
      <c r="AW1144" s="2209" t="s">
        <v>3171</v>
      </c>
      <c r="AX1144" s="2209" t="s">
        <v>3213</v>
      </c>
      <c r="AY1144" s="2211" t="s">
        <v>3285</v>
      </c>
    </row>
    <row r="1145" spans="2:65" s="2216" customFormat="1">
      <c r="B1145" s="2217"/>
      <c r="D1145" s="2197" t="s">
        <v>3303</v>
      </c>
      <c r="E1145" s="2218" t="s">
        <v>3146</v>
      </c>
      <c r="F1145" s="2219" t="s">
        <v>3306</v>
      </c>
      <c r="H1145" s="2220">
        <v>13</v>
      </c>
      <c r="L1145" s="2217"/>
      <c r="M1145" s="2221"/>
      <c r="T1145" s="2222"/>
      <c r="AT1145" s="2218" t="s">
        <v>3303</v>
      </c>
      <c r="AU1145" s="2218" t="s">
        <v>134</v>
      </c>
      <c r="AV1145" s="2216" t="s">
        <v>856</v>
      </c>
      <c r="AW1145" s="2216" t="s">
        <v>3171</v>
      </c>
      <c r="AX1145" s="2216" t="s">
        <v>133</v>
      </c>
      <c r="AY1145" s="2218" t="s">
        <v>3285</v>
      </c>
    </row>
    <row r="1146" spans="2:65" s="2070" customFormat="1" ht="16.5" customHeight="1">
      <c r="B1146" s="2164"/>
      <c r="C1146" s="4614" t="s">
        <v>4614</v>
      </c>
      <c r="D1146" s="4614" t="s">
        <v>135</v>
      </c>
      <c r="E1146" s="4615" t="s">
        <v>5444</v>
      </c>
      <c r="F1146" s="4616" t="s">
        <v>5445</v>
      </c>
      <c r="G1146" s="4617" t="s">
        <v>155</v>
      </c>
      <c r="H1146" s="4618">
        <v>13</v>
      </c>
      <c r="I1146" s="4619"/>
      <c r="J1146" s="4619">
        <f>ROUND(I1146*H1146,2)</f>
        <v>0</v>
      </c>
      <c r="K1146" s="4616" t="s">
        <v>142</v>
      </c>
      <c r="L1146" s="2223"/>
      <c r="M1146" s="2224" t="s">
        <v>3146</v>
      </c>
      <c r="N1146" s="2225" t="s">
        <v>3181</v>
      </c>
      <c r="O1146" s="2191">
        <v>0</v>
      </c>
      <c r="P1146" s="2191">
        <f>O1146*H1146</f>
        <v>0</v>
      </c>
      <c r="Q1146" s="2191">
        <v>1E-3</v>
      </c>
      <c r="R1146" s="2191">
        <f>Q1146*H1146</f>
        <v>1.3000000000000001E-2</v>
      </c>
      <c r="S1146" s="2191">
        <v>0</v>
      </c>
      <c r="T1146" s="2192">
        <f>S1146*H1146</f>
        <v>0</v>
      </c>
      <c r="AR1146" s="2193" t="s">
        <v>3389</v>
      </c>
      <c r="AT1146" s="2193" t="s">
        <v>135</v>
      </c>
      <c r="AU1146" s="2193" t="s">
        <v>134</v>
      </c>
      <c r="AY1146" s="2056" t="s">
        <v>3285</v>
      </c>
      <c r="BE1146" s="2194">
        <f>IF(N1146="základní",J1146,0)</f>
        <v>0</v>
      </c>
      <c r="BF1146" s="2194">
        <f>IF(N1146="snížená",J1146,0)</f>
        <v>0</v>
      </c>
      <c r="BG1146" s="2194">
        <f>IF(N1146="zákl. přenesená",J1146,0)</f>
        <v>0</v>
      </c>
      <c r="BH1146" s="2194">
        <f>IF(N1146="sníž. přenesená",J1146,0)</f>
        <v>0</v>
      </c>
      <c r="BI1146" s="2194">
        <f>IF(N1146="nulová",J1146,0)</f>
        <v>0</v>
      </c>
      <c r="BJ1146" s="2056" t="s">
        <v>134</v>
      </c>
      <c r="BK1146" s="2194">
        <f>ROUND(I1146*H1146,2)</f>
        <v>0</v>
      </c>
      <c r="BL1146" s="2056" t="s">
        <v>2894</v>
      </c>
      <c r="BM1146" s="2193" t="s">
        <v>5446</v>
      </c>
    </row>
    <row r="1147" spans="2:65" s="2070" customFormat="1" ht="24.2" customHeight="1">
      <c r="B1147" s="2164"/>
      <c r="C1147" s="4608" t="s">
        <v>5799</v>
      </c>
      <c r="D1147" s="4608" t="s">
        <v>3286</v>
      </c>
      <c r="E1147" s="4609" t="s">
        <v>5447</v>
      </c>
      <c r="F1147" s="4610" t="s">
        <v>5448</v>
      </c>
      <c r="G1147" s="4611" t="s">
        <v>141</v>
      </c>
      <c r="H1147" s="4612">
        <v>253.8</v>
      </c>
      <c r="I1147" s="4613"/>
      <c r="J1147" s="4613">
        <f>ROUND(I1147*H1147,2)</f>
        <v>0</v>
      </c>
      <c r="K1147" s="4610" t="s">
        <v>142</v>
      </c>
      <c r="L1147" s="2071"/>
      <c r="M1147" s="2190" t="s">
        <v>3146</v>
      </c>
      <c r="N1147" s="2163" t="s">
        <v>3181</v>
      </c>
      <c r="O1147" s="2191">
        <v>0.22</v>
      </c>
      <c r="P1147" s="2191">
        <f>O1147*H1147</f>
        <v>55.836000000000006</v>
      </c>
      <c r="Q1147" s="2191">
        <v>2.9E-4</v>
      </c>
      <c r="R1147" s="2191">
        <f>Q1147*H1147</f>
        <v>7.3602000000000001E-2</v>
      </c>
      <c r="S1147" s="2191">
        <v>0</v>
      </c>
      <c r="T1147" s="2192">
        <f>S1147*H1147</f>
        <v>0</v>
      </c>
      <c r="AR1147" s="2193" t="s">
        <v>2894</v>
      </c>
      <c r="AT1147" s="2193" t="s">
        <v>3286</v>
      </c>
      <c r="AU1147" s="2193" t="s">
        <v>134</v>
      </c>
      <c r="AY1147" s="2056" t="s">
        <v>3285</v>
      </c>
      <c r="BE1147" s="2194">
        <f>IF(N1147="základní",J1147,0)</f>
        <v>0</v>
      </c>
      <c r="BF1147" s="2194">
        <f>IF(N1147="snížená",J1147,0)</f>
        <v>0</v>
      </c>
      <c r="BG1147" s="2194">
        <f>IF(N1147="zákl. přenesená",J1147,0)</f>
        <v>0</v>
      </c>
      <c r="BH1147" s="2194">
        <f>IF(N1147="sníž. přenesená",J1147,0)</f>
        <v>0</v>
      </c>
      <c r="BI1147" s="2194">
        <f>IF(N1147="nulová",J1147,0)</f>
        <v>0</v>
      </c>
      <c r="BJ1147" s="2056" t="s">
        <v>134</v>
      </c>
      <c r="BK1147" s="2194">
        <f>ROUND(I1147*H1147,2)</f>
        <v>0</v>
      </c>
      <c r="BL1147" s="2056" t="s">
        <v>2894</v>
      </c>
      <c r="BM1147" s="2193" t="s">
        <v>5449</v>
      </c>
    </row>
    <row r="1148" spans="2:65" s="2195" customFormat="1">
      <c r="B1148" s="2196"/>
      <c r="D1148" s="2197" t="s">
        <v>3303</v>
      </c>
      <c r="E1148" s="2198" t="s">
        <v>3146</v>
      </c>
      <c r="F1148" s="2199" t="s">
        <v>5041</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5450</v>
      </c>
      <c r="H1149" s="2213">
        <v>22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5043</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5451</v>
      </c>
      <c r="H1151" s="2213">
        <v>13.2</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5411</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5452</v>
      </c>
      <c r="H1153" s="2213">
        <v>188.1</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5453</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5454</v>
      </c>
      <c r="H1155" s="2213">
        <v>7.5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5413</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5455</v>
      </c>
      <c r="H1157" s="2213">
        <v>9.5</v>
      </c>
      <c r="L1157" s="2210"/>
      <c r="M1157" s="2214"/>
      <c r="T1157" s="2215"/>
      <c r="AT1157" s="2211" t="s">
        <v>3303</v>
      </c>
      <c r="AU1157" s="2211" t="s">
        <v>134</v>
      </c>
      <c r="AV1157" s="2209" t="s">
        <v>134</v>
      </c>
      <c r="AW1157" s="2209" t="s">
        <v>3171</v>
      </c>
      <c r="AX1157" s="2209" t="s">
        <v>3213</v>
      </c>
      <c r="AY1157" s="2211" t="s">
        <v>3285</v>
      </c>
    </row>
    <row r="1158" spans="2:65" s="2195" customFormat="1">
      <c r="B1158" s="2196"/>
      <c r="D1158" s="2197" t="s">
        <v>3303</v>
      </c>
      <c r="E1158" s="2198" t="s">
        <v>3146</v>
      </c>
      <c r="F1158" s="2199" t="s">
        <v>5434</v>
      </c>
      <c r="H1158" s="2198" t="s">
        <v>3146</v>
      </c>
      <c r="L1158" s="2196"/>
      <c r="M1158" s="2200"/>
      <c r="T1158" s="2201"/>
      <c r="AT1158" s="2198" t="s">
        <v>3303</v>
      </c>
      <c r="AU1158" s="2198" t="s">
        <v>134</v>
      </c>
      <c r="AV1158" s="2195" t="s">
        <v>133</v>
      </c>
      <c r="AW1158" s="2195" t="s">
        <v>3171</v>
      </c>
      <c r="AX1158" s="2195" t="s">
        <v>3213</v>
      </c>
      <c r="AY1158" s="2198" t="s">
        <v>3285</v>
      </c>
    </row>
    <row r="1159" spans="2:65" s="2209" customFormat="1">
      <c r="B1159" s="2210"/>
      <c r="D1159" s="2197" t="s">
        <v>3303</v>
      </c>
      <c r="E1159" s="2211" t="s">
        <v>3146</v>
      </c>
      <c r="F1159" s="2212" t="s">
        <v>5456</v>
      </c>
      <c r="H1159" s="2213">
        <v>13.5</v>
      </c>
      <c r="L1159" s="2210"/>
      <c r="M1159" s="2214"/>
      <c r="T1159" s="2215"/>
      <c r="AT1159" s="2211" t="s">
        <v>3303</v>
      </c>
      <c r="AU1159" s="2211" t="s">
        <v>134</v>
      </c>
      <c r="AV1159" s="2209" t="s">
        <v>134</v>
      </c>
      <c r="AW1159" s="2209" t="s">
        <v>3171</v>
      </c>
      <c r="AX1159" s="2209" t="s">
        <v>3213</v>
      </c>
      <c r="AY1159" s="2211" t="s">
        <v>3285</v>
      </c>
    </row>
    <row r="1160" spans="2:65" s="2202" customFormat="1">
      <c r="B1160" s="2203"/>
      <c r="D1160" s="2197" t="s">
        <v>3303</v>
      </c>
      <c r="E1160" s="2204" t="s">
        <v>3146</v>
      </c>
      <c r="F1160" s="2205" t="s">
        <v>3305</v>
      </c>
      <c r="H1160" s="2206">
        <v>253.8</v>
      </c>
      <c r="L1160" s="2203"/>
      <c r="M1160" s="2207"/>
      <c r="T1160" s="2208"/>
      <c r="AT1160" s="2204" t="s">
        <v>3303</v>
      </c>
      <c r="AU1160" s="2204" t="s">
        <v>134</v>
      </c>
      <c r="AV1160" s="2202" t="s">
        <v>854</v>
      </c>
      <c r="AW1160" s="2202" t="s">
        <v>3171</v>
      </c>
      <c r="AX1160" s="2202" t="s">
        <v>133</v>
      </c>
      <c r="AY1160" s="2204" t="s">
        <v>3285</v>
      </c>
    </row>
    <row r="1161" spans="2:65" s="2070" customFormat="1" ht="24.2" customHeight="1">
      <c r="B1161" s="2164"/>
      <c r="C1161" s="5561" t="s">
        <v>5071</v>
      </c>
      <c r="D1161" s="4608" t="s">
        <v>3286</v>
      </c>
      <c r="E1161" s="4609" t="s">
        <v>5457</v>
      </c>
      <c r="F1161" s="4610" t="s">
        <v>5458</v>
      </c>
      <c r="G1161" s="4611" t="s">
        <v>611</v>
      </c>
      <c r="H1161" s="5568">
        <f>H1166</f>
        <v>3.94</v>
      </c>
      <c r="I1161" s="5876" t="s">
        <v>11555</v>
      </c>
      <c r="J1161" s="5877"/>
      <c r="K1161" s="4610" t="s">
        <v>142</v>
      </c>
      <c r="L1161" s="2071"/>
      <c r="M1161" s="2190" t="s">
        <v>3146</v>
      </c>
      <c r="N1161" s="2163" t="s">
        <v>3181</v>
      </c>
      <c r="O1161" s="2191">
        <v>2.3170000000000002</v>
      </c>
      <c r="P1161" s="2191">
        <f>O1161*H1161</f>
        <v>9.1289800000000003</v>
      </c>
      <c r="Q1161" s="2191">
        <v>9.3999999999999997E-4</v>
      </c>
      <c r="R1161" s="2191">
        <f>Q1161*H1161</f>
        <v>3.7036E-3</v>
      </c>
      <c r="S1161" s="2191">
        <v>0</v>
      </c>
      <c r="T1161" s="2192">
        <f>S1161*H1161</f>
        <v>0</v>
      </c>
      <c r="AR1161" s="2193" t="s">
        <v>2894</v>
      </c>
      <c r="AT1161" s="2193" t="s">
        <v>3286</v>
      </c>
      <c r="AU1161" s="2193" t="s">
        <v>134</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v>0</v>
      </c>
      <c r="BL1161" s="2056" t="s">
        <v>2894</v>
      </c>
      <c r="BM1161" s="2193" t="s">
        <v>5459</v>
      </c>
    </row>
    <row r="1162" spans="2:65" s="2195" customFormat="1">
      <c r="B1162" s="2196"/>
      <c r="D1162" s="2197" t="s">
        <v>3303</v>
      </c>
      <c r="E1162" s="2198" t="s">
        <v>3146</v>
      </c>
      <c r="F1162" s="2199" t="s">
        <v>5460</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5560" t="s">
        <v>11742</v>
      </c>
      <c r="H1163" s="5569">
        <f>1*1.97</f>
        <v>1.97</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5461</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5560" t="s">
        <v>11742</v>
      </c>
      <c r="G1165" s="5574"/>
      <c r="H1165" s="5569">
        <f>1*1.97</f>
        <v>1.97</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5569">
        <f>H1165+H1163</f>
        <v>3.94</v>
      </c>
      <c r="L1166" s="2217"/>
      <c r="M1166" s="2221"/>
      <c r="T1166" s="2222"/>
      <c r="AT1166" s="2218" t="s">
        <v>3303</v>
      </c>
      <c r="AU1166" s="2218" t="s">
        <v>134</v>
      </c>
      <c r="AV1166" s="2216" t="s">
        <v>856</v>
      </c>
      <c r="AW1166" s="2216" t="s">
        <v>3171</v>
      </c>
      <c r="AX1166" s="2216" t="s">
        <v>133</v>
      </c>
      <c r="AY1166" s="2218" t="s">
        <v>3285</v>
      </c>
    </row>
    <row r="1167" spans="2:65" s="2216" customFormat="1">
      <c r="B1167" s="2217"/>
      <c r="D1167" s="2197"/>
      <c r="E1167" s="2218"/>
      <c r="F1167" s="5560" t="s">
        <v>11741</v>
      </c>
      <c r="H1167" s="2220"/>
      <c r="L1167" s="2217"/>
      <c r="M1167" s="2221"/>
      <c r="T1167" s="2222"/>
      <c r="AT1167" s="2218"/>
      <c r="AU1167" s="2218"/>
      <c r="AY1167" s="2218"/>
    </row>
    <row r="1168" spans="2:65" s="2070" customFormat="1" ht="24.2" customHeight="1">
      <c r="B1168" s="2164"/>
      <c r="C1168" s="5609" t="s">
        <v>5245</v>
      </c>
      <c r="D1168" s="4614" t="s">
        <v>135</v>
      </c>
      <c r="E1168" s="4615" t="s">
        <v>5462</v>
      </c>
      <c r="F1168" s="4616" t="s">
        <v>5463</v>
      </c>
      <c r="G1168" s="4617" t="s">
        <v>611</v>
      </c>
      <c r="H1168" s="5610">
        <f>H1173</f>
        <v>3.94</v>
      </c>
      <c r="I1168" s="5876" t="s">
        <v>11555</v>
      </c>
      <c r="J1168" s="5877"/>
      <c r="K1168" s="4616" t="s">
        <v>142</v>
      </c>
      <c r="L1168" s="2223"/>
      <c r="M1168" s="2224" t="s">
        <v>3146</v>
      </c>
      <c r="N1168" s="2225" t="s">
        <v>3181</v>
      </c>
      <c r="O1168" s="2191">
        <v>0</v>
      </c>
      <c r="P1168" s="2191">
        <f>O1168*H1168</f>
        <v>0</v>
      </c>
      <c r="Q1168" s="2191">
        <v>0.03</v>
      </c>
      <c r="R1168" s="2191">
        <f>Q1168*H1168</f>
        <v>0.1182</v>
      </c>
      <c r="S1168" s="2191">
        <v>0</v>
      </c>
      <c r="T1168" s="2192">
        <f>S1168*H1168</f>
        <v>0</v>
      </c>
      <c r="AR1168" s="2193" t="s">
        <v>3389</v>
      </c>
      <c r="AT1168" s="2193" t="s">
        <v>135</v>
      </c>
      <c r="AU1168" s="2193" t="s">
        <v>134</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v>0</v>
      </c>
      <c r="BL1168" s="2056" t="s">
        <v>2894</v>
      </c>
      <c r="BM1168" s="2193" t="s">
        <v>5464</v>
      </c>
    </row>
    <row r="1169" spans="2:65" s="2195" customFormat="1">
      <c r="B1169" s="2196"/>
      <c r="D1169" s="2197" t="s">
        <v>3303</v>
      </c>
      <c r="E1169" s="2198" t="s">
        <v>3146</v>
      </c>
      <c r="F1169" s="2199" t="s">
        <v>5460</v>
      </c>
      <c r="H1169" s="2198" t="s">
        <v>3146</v>
      </c>
      <c r="L1169" s="2196"/>
      <c r="M1169" s="2200"/>
      <c r="T1169" s="2201"/>
      <c r="AT1169" s="2198" t="s">
        <v>3303</v>
      </c>
      <c r="AU1169" s="2198" t="s">
        <v>134</v>
      </c>
      <c r="AV1169" s="2195" t="s">
        <v>133</v>
      </c>
      <c r="AW1169" s="2195" t="s">
        <v>3171</v>
      </c>
      <c r="AX1169" s="2195" t="s">
        <v>3213</v>
      </c>
      <c r="AY1169" s="2198" t="s">
        <v>3285</v>
      </c>
    </row>
    <row r="1170" spans="2:65" s="2209" customFormat="1">
      <c r="B1170" s="2210"/>
      <c r="D1170" s="2197" t="s">
        <v>3303</v>
      </c>
      <c r="E1170" s="2211" t="s">
        <v>3146</v>
      </c>
      <c r="F1170" s="5560" t="s">
        <v>11743</v>
      </c>
      <c r="G1170" s="5574"/>
      <c r="H1170" s="5569">
        <f>(1*1.97)*1</f>
        <v>1.97</v>
      </c>
      <c r="L1170" s="2210"/>
      <c r="M1170" s="2214"/>
      <c r="T1170" s="2215"/>
      <c r="AT1170" s="2211" t="s">
        <v>3303</v>
      </c>
      <c r="AU1170" s="2211" t="s">
        <v>134</v>
      </c>
      <c r="AV1170" s="2209" t="s">
        <v>134</v>
      </c>
      <c r="AW1170" s="2209" t="s">
        <v>3171</v>
      </c>
      <c r="AX1170" s="2209" t="s">
        <v>3213</v>
      </c>
      <c r="AY1170" s="2211" t="s">
        <v>3285</v>
      </c>
    </row>
    <row r="1171" spans="2:65" s="2195" customFormat="1">
      <c r="B1171" s="2196"/>
      <c r="D1171" s="2197" t="s">
        <v>3303</v>
      </c>
      <c r="E1171" s="2198" t="s">
        <v>3146</v>
      </c>
      <c r="F1171" s="2199" t="s">
        <v>5461</v>
      </c>
      <c r="H1171" s="2198" t="s">
        <v>3146</v>
      </c>
      <c r="L1171" s="2196"/>
      <c r="M1171" s="2200"/>
      <c r="T1171" s="2201"/>
      <c r="AT1171" s="2198" t="s">
        <v>3303</v>
      </c>
      <c r="AU1171" s="2198" t="s">
        <v>134</v>
      </c>
      <c r="AV1171" s="2195" t="s">
        <v>133</v>
      </c>
      <c r="AW1171" s="2195" t="s">
        <v>3171</v>
      </c>
      <c r="AX1171" s="2195" t="s">
        <v>3213</v>
      </c>
      <c r="AY1171" s="2198" t="s">
        <v>3285</v>
      </c>
    </row>
    <row r="1172" spans="2:65" s="2209" customFormat="1">
      <c r="B1172" s="2210"/>
      <c r="D1172" s="2197" t="s">
        <v>3303</v>
      </c>
      <c r="E1172" s="2211" t="s">
        <v>3146</v>
      </c>
      <c r="F1172" s="5560" t="s">
        <v>11743</v>
      </c>
      <c r="G1172" s="5574"/>
      <c r="H1172" s="5569">
        <f>(1*1.97)*1</f>
        <v>1.97</v>
      </c>
      <c r="L1172" s="2210"/>
      <c r="M1172" s="2214"/>
      <c r="T1172" s="2215"/>
      <c r="AT1172" s="2211" t="s">
        <v>3303</v>
      </c>
      <c r="AU1172" s="2211" t="s">
        <v>134</v>
      </c>
      <c r="AV1172" s="2209" t="s">
        <v>134</v>
      </c>
      <c r="AW1172" s="2209" t="s">
        <v>3171</v>
      </c>
      <c r="AX1172" s="2209" t="s">
        <v>3213</v>
      </c>
      <c r="AY1172" s="2211" t="s">
        <v>3285</v>
      </c>
    </row>
    <row r="1173" spans="2:65" s="2216" customFormat="1">
      <c r="B1173" s="2217"/>
      <c r="D1173" s="2197" t="s">
        <v>3303</v>
      </c>
      <c r="E1173" s="2218" t="s">
        <v>3146</v>
      </c>
      <c r="F1173" s="2219" t="s">
        <v>3306</v>
      </c>
      <c r="H1173" s="5569">
        <f>H1172+H1170</f>
        <v>3.94</v>
      </c>
      <c r="L1173" s="2217"/>
      <c r="M1173" s="2221"/>
      <c r="T1173" s="2222"/>
      <c r="AT1173" s="2218" t="s">
        <v>3303</v>
      </c>
      <c r="AU1173" s="2218" t="s">
        <v>134</v>
      </c>
      <c r="AV1173" s="2216" t="s">
        <v>856</v>
      </c>
      <c r="AW1173" s="2216" t="s">
        <v>3171</v>
      </c>
      <c r="AX1173" s="2216" t="s">
        <v>133</v>
      </c>
      <c r="AY1173" s="2218" t="s">
        <v>3285</v>
      </c>
    </row>
    <row r="1174" spans="2:65" s="2216" customFormat="1">
      <c r="B1174" s="2217"/>
      <c r="D1174" s="2197"/>
      <c r="E1174" s="2218"/>
      <c r="F1174" s="5560" t="s">
        <v>11741</v>
      </c>
      <c r="H1174" s="2220"/>
      <c r="L1174" s="2217"/>
      <c r="M1174" s="2221"/>
      <c r="T1174" s="2222"/>
      <c r="AT1174" s="2218"/>
      <c r="AU1174" s="2218"/>
      <c r="AY1174" s="2218"/>
    </row>
    <row r="1175" spans="2:65" s="2070" customFormat="1" ht="24.2" customHeight="1">
      <c r="B1175" s="2164"/>
      <c r="C1175" s="5561" t="s">
        <v>5246</v>
      </c>
      <c r="D1175" s="4608" t="s">
        <v>3286</v>
      </c>
      <c r="E1175" s="4609" t="s">
        <v>5465</v>
      </c>
      <c r="F1175" s="4610" t="s">
        <v>5466</v>
      </c>
      <c r="G1175" s="4611" t="s">
        <v>155</v>
      </c>
      <c r="H1175" s="4612">
        <v>2</v>
      </c>
      <c r="I1175" s="5876" t="s">
        <v>11555</v>
      </c>
      <c r="J1175" s="5877"/>
      <c r="K1175" s="4610" t="s">
        <v>142</v>
      </c>
      <c r="L1175" s="2071"/>
      <c r="M1175" s="2190" t="s">
        <v>3146</v>
      </c>
      <c r="N1175" s="2163" t="s">
        <v>3181</v>
      </c>
      <c r="O1175" s="2191">
        <v>7.62</v>
      </c>
      <c r="P1175" s="2191">
        <f>O1175*H1175</f>
        <v>15.24</v>
      </c>
      <c r="Q1175" s="2191">
        <v>0</v>
      </c>
      <c r="R1175" s="2191">
        <f>Q1175*H1175</f>
        <v>0</v>
      </c>
      <c r="S1175" s="2191">
        <v>0</v>
      </c>
      <c r="T1175" s="2192">
        <f>S1175*H1175</f>
        <v>0</v>
      </c>
      <c r="AR1175" s="2193" t="s">
        <v>2894</v>
      </c>
      <c r="AT1175" s="2193" t="s">
        <v>3286</v>
      </c>
      <c r="AU1175" s="2193" t="s">
        <v>134</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v>0</v>
      </c>
      <c r="BL1175" s="2056" t="s">
        <v>2894</v>
      </c>
      <c r="BM1175" s="2193" t="s">
        <v>5467</v>
      </c>
    </row>
    <row r="1176" spans="2:65" s="2195" customFormat="1">
      <c r="B1176" s="2196"/>
      <c r="D1176" s="2197" t="s">
        <v>3303</v>
      </c>
      <c r="E1176" s="2198" t="s">
        <v>3146</v>
      </c>
      <c r="F1176" s="2199" t="s">
        <v>5468</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133</v>
      </c>
      <c r="H1177" s="2213">
        <v>1</v>
      </c>
      <c r="L1177" s="2210"/>
      <c r="M1177" s="2214"/>
      <c r="T1177" s="2215"/>
      <c r="AT1177" s="2211" t="s">
        <v>3303</v>
      </c>
      <c r="AU1177" s="2211" t="s">
        <v>134</v>
      </c>
      <c r="AV1177" s="2209" t="s">
        <v>134</v>
      </c>
      <c r="AW1177" s="2209" t="s">
        <v>3171</v>
      </c>
      <c r="AX1177" s="2209" t="s">
        <v>3213</v>
      </c>
      <c r="AY1177" s="2211" t="s">
        <v>3285</v>
      </c>
    </row>
    <row r="1178" spans="2:65" s="2195" customFormat="1">
      <c r="B1178" s="2196"/>
      <c r="D1178" s="2197" t="s">
        <v>3303</v>
      </c>
      <c r="E1178" s="2198" t="s">
        <v>3146</v>
      </c>
      <c r="F1178" s="2199" t="s">
        <v>5469</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2</v>
      </c>
      <c r="L1180" s="2217"/>
      <c r="M1180" s="2221"/>
      <c r="T1180" s="2222"/>
      <c r="AT1180" s="2218" t="s">
        <v>3303</v>
      </c>
      <c r="AU1180" s="2218" t="s">
        <v>134</v>
      </c>
      <c r="AV1180" s="2216" t="s">
        <v>856</v>
      </c>
      <c r="AW1180" s="2216" t="s">
        <v>3171</v>
      </c>
      <c r="AX1180" s="2216" t="s">
        <v>133</v>
      </c>
      <c r="AY1180" s="2218" t="s">
        <v>3285</v>
      </c>
    </row>
    <row r="1181" spans="2:65" s="2070" customFormat="1" ht="37.9" customHeight="1">
      <c r="B1181" s="2164"/>
      <c r="C1181" s="5609" t="s">
        <v>990</v>
      </c>
      <c r="D1181" s="4614" t="s">
        <v>135</v>
      </c>
      <c r="E1181" s="4615" t="s">
        <v>5470</v>
      </c>
      <c r="F1181" s="4616" t="s">
        <v>5471</v>
      </c>
      <c r="G1181" s="4617" t="s">
        <v>155</v>
      </c>
      <c r="H1181" s="4618">
        <v>1</v>
      </c>
      <c r="I1181" s="5876" t="s">
        <v>11555</v>
      </c>
      <c r="J1181" s="5877"/>
      <c r="K1181" s="4616" t="s">
        <v>3146</v>
      </c>
      <c r="L1181" s="2223"/>
      <c r="M1181" s="2224" t="s">
        <v>3146</v>
      </c>
      <c r="N1181" s="2225" t="s">
        <v>3181</v>
      </c>
      <c r="O1181" s="2191">
        <v>0</v>
      </c>
      <c r="P1181" s="2191">
        <f>O1181*H1181</f>
        <v>0</v>
      </c>
      <c r="Q1181" s="2191">
        <v>9.8000000000000004E-2</v>
      </c>
      <c r="R1181" s="2191">
        <f>Q1181*H1181</f>
        <v>9.8000000000000004E-2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v>0</v>
      </c>
      <c r="BL1181" s="2056" t="s">
        <v>2894</v>
      </c>
      <c r="BM1181" s="2193" t="s">
        <v>5472</v>
      </c>
    </row>
    <row r="1182" spans="2:65" s="2195" customFormat="1">
      <c r="B1182" s="2196"/>
      <c r="D1182" s="2197" t="s">
        <v>3303</v>
      </c>
      <c r="E1182" s="2198" t="s">
        <v>3146</v>
      </c>
      <c r="F1182" s="2199" t="s">
        <v>5469</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5609" t="s">
        <v>5247</v>
      </c>
      <c r="D1185" s="4614" t="s">
        <v>135</v>
      </c>
      <c r="E1185" s="4615" t="s">
        <v>5473</v>
      </c>
      <c r="F1185" s="4616" t="s">
        <v>5474</v>
      </c>
      <c r="G1185" s="4617" t="s">
        <v>155</v>
      </c>
      <c r="H1185" s="4618">
        <v>1</v>
      </c>
      <c r="I1185" s="5876" t="s">
        <v>11555</v>
      </c>
      <c r="J1185" s="5877"/>
      <c r="K1185" s="4616" t="s">
        <v>3146</v>
      </c>
      <c r="L1185" s="2223"/>
      <c r="M1185" s="2224" t="s">
        <v>3146</v>
      </c>
      <c r="N1185" s="2225" t="s">
        <v>3181</v>
      </c>
      <c r="O1185" s="2191">
        <v>0</v>
      </c>
      <c r="P1185" s="2191">
        <f>O1185*H1185</f>
        <v>0</v>
      </c>
      <c r="Q1185" s="2191">
        <v>2.4230000000000002E-2</v>
      </c>
      <c r="R1185" s="2191">
        <f>Q1185*H1185</f>
        <v>2.4230000000000002E-2</v>
      </c>
      <c r="S1185" s="2191">
        <v>0</v>
      </c>
      <c r="T1185" s="2192">
        <f>S1185*H1185</f>
        <v>0</v>
      </c>
      <c r="AR1185" s="2193" t="s">
        <v>3389</v>
      </c>
      <c r="AT1185" s="2193" t="s">
        <v>135</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v>0</v>
      </c>
      <c r="BL1185" s="2056" t="s">
        <v>2894</v>
      </c>
      <c r="BM1185" s="2193" t="s">
        <v>5475</v>
      </c>
    </row>
    <row r="1186" spans="2:65" s="2195" customFormat="1">
      <c r="B1186" s="2196"/>
      <c r="D1186" s="2197" t="s">
        <v>3303</v>
      </c>
      <c r="E1186" s="2198" t="s">
        <v>3146</v>
      </c>
      <c r="F1186" s="2199" t="s">
        <v>5468</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216" customFormat="1">
      <c r="B1188" s="2217"/>
      <c r="D1188" s="2197" t="s">
        <v>3303</v>
      </c>
      <c r="E1188" s="2218" t="s">
        <v>3146</v>
      </c>
      <c r="F1188" s="2219" t="s">
        <v>3306</v>
      </c>
      <c r="H1188" s="2220">
        <v>1</v>
      </c>
      <c r="L1188" s="2217"/>
      <c r="M1188" s="2221"/>
      <c r="T1188" s="2222"/>
      <c r="AT1188" s="2218" t="s">
        <v>3303</v>
      </c>
      <c r="AU1188" s="2218" t="s">
        <v>134</v>
      </c>
      <c r="AV1188" s="2216" t="s">
        <v>856</v>
      </c>
      <c r="AW1188" s="2216" t="s">
        <v>3171</v>
      </c>
      <c r="AX1188" s="2216" t="s">
        <v>133</v>
      </c>
      <c r="AY1188" s="2218" t="s">
        <v>3285</v>
      </c>
    </row>
    <row r="1189" spans="2:65" s="2070" customFormat="1" ht="24.2" customHeight="1">
      <c r="B1189" s="2164"/>
      <c r="C1189" s="5561" t="s">
        <v>5248</v>
      </c>
      <c r="D1189" s="4608" t="s">
        <v>3286</v>
      </c>
      <c r="E1189" s="4609" t="s">
        <v>5476</v>
      </c>
      <c r="F1189" s="4610" t="s">
        <v>5477</v>
      </c>
      <c r="G1189" s="4611" t="s">
        <v>155</v>
      </c>
      <c r="H1189" s="4612">
        <v>4</v>
      </c>
      <c r="I1189" s="5876" t="s">
        <v>11555</v>
      </c>
      <c r="J1189" s="5877"/>
      <c r="K1189" s="4610" t="s">
        <v>142</v>
      </c>
      <c r="L1189" s="2071"/>
      <c r="M1189" s="2190" t="s">
        <v>3146</v>
      </c>
      <c r="N1189" s="2163" t="s">
        <v>3181</v>
      </c>
      <c r="O1189" s="2191">
        <v>9.1</v>
      </c>
      <c r="P1189" s="2191">
        <f>O1189*H1189</f>
        <v>36.4</v>
      </c>
      <c r="Q1189" s="2191">
        <v>0</v>
      </c>
      <c r="R1189" s="2191">
        <f>Q1189*H1189</f>
        <v>0</v>
      </c>
      <c r="S1189" s="2191">
        <v>0</v>
      </c>
      <c r="T1189" s="2192">
        <f>S1189*H1189</f>
        <v>0</v>
      </c>
      <c r="AR1189" s="2193" t="s">
        <v>2894</v>
      </c>
      <c r="AT1189" s="2193" t="s">
        <v>3286</v>
      </c>
      <c r="AU1189" s="2193" t="s">
        <v>134</v>
      </c>
      <c r="AY1189" s="2056" t="s">
        <v>3285</v>
      </c>
      <c r="BE1189" s="2194">
        <f>IF(N1189="základní",J1189,0)</f>
        <v>0</v>
      </c>
      <c r="BF1189" s="2194">
        <f>IF(N1189="snížená",J1189,0)</f>
        <v>0</v>
      </c>
      <c r="BG1189" s="2194">
        <f>IF(N1189="zákl. přenesená",J1189,0)</f>
        <v>0</v>
      </c>
      <c r="BH1189" s="2194">
        <f>IF(N1189="sníž. přenesená",J1189,0)</f>
        <v>0</v>
      </c>
      <c r="BI1189" s="2194">
        <f>IF(N1189="nulová",J1189,0)</f>
        <v>0</v>
      </c>
      <c r="BJ1189" s="2056" t="s">
        <v>134</v>
      </c>
      <c r="BK1189" s="2194">
        <v>0</v>
      </c>
      <c r="BL1189" s="2056" t="s">
        <v>2894</v>
      </c>
      <c r="BM1189" s="2193" t="s">
        <v>5478</v>
      </c>
    </row>
    <row r="1190" spans="2:65" s="2195" customFormat="1">
      <c r="B1190" s="2196"/>
      <c r="D1190" s="2197" t="s">
        <v>3303</v>
      </c>
      <c r="E1190" s="2198" t="s">
        <v>3146</v>
      </c>
      <c r="F1190" s="2199" t="s">
        <v>5479</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5480</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195" customFormat="1">
      <c r="B1194" s="2196"/>
      <c r="D1194" s="2197" t="s">
        <v>3303</v>
      </c>
      <c r="E1194" s="2198" t="s">
        <v>3146</v>
      </c>
      <c r="F1194" s="2199" t="s">
        <v>5481</v>
      </c>
      <c r="H1194" s="2198" t="s">
        <v>3146</v>
      </c>
      <c r="L1194" s="2196"/>
      <c r="M1194" s="2200"/>
      <c r="T1194" s="2201"/>
      <c r="AT1194" s="2198" t="s">
        <v>3303</v>
      </c>
      <c r="AU1194" s="2198" t="s">
        <v>134</v>
      </c>
      <c r="AV1194" s="2195" t="s">
        <v>133</v>
      </c>
      <c r="AW1194" s="2195" t="s">
        <v>3171</v>
      </c>
      <c r="AX1194" s="2195" t="s">
        <v>3213</v>
      </c>
      <c r="AY1194" s="2198" t="s">
        <v>3285</v>
      </c>
    </row>
    <row r="1195" spans="2:65" s="2209" customFormat="1">
      <c r="B1195" s="2210"/>
      <c r="D1195" s="2197" t="s">
        <v>3303</v>
      </c>
      <c r="E1195" s="2211" t="s">
        <v>3146</v>
      </c>
      <c r="F1195" s="2212" t="s">
        <v>133</v>
      </c>
      <c r="H1195" s="2213">
        <v>1</v>
      </c>
      <c r="L1195" s="2210"/>
      <c r="M1195" s="2214"/>
      <c r="T1195" s="2215"/>
      <c r="AT1195" s="2211" t="s">
        <v>3303</v>
      </c>
      <c r="AU1195" s="2211" t="s">
        <v>134</v>
      </c>
      <c r="AV1195" s="2209" t="s">
        <v>134</v>
      </c>
      <c r="AW1195" s="2209" t="s">
        <v>3171</v>
      </c>
      <c r="AX1195" s="2209" t="s">
        <v>3213</v>
      </c>
      <c r="AY1195" s="2211" t="s">
        <v>3285</v>
      </c>
    </row>
    <row r="1196" spans="2:65" s="2195" customFormat="1">
      <c r="B1196" s="2196"/>
      <c r="D1196" s="2197" t="s">
        <v>3303</v>
      </c>
      <c r="E1196" s="2198" t="s">
        <v>3146</v>
      </c>
      <c r="F1196" s="2199" t="s">
        <v>5482</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133</v>
      </c>
      <c r="H1197" s="2213">
        <v>1</v>
      </c>
      <c r="L1197" s="2210"/>
      <c r="M1197" s="2214"/>
      <c r="T1197" s="2215"/>
      <c r="AT1197" s="2211" t="s">
        <v>3303</v>
      </c>
      <c r="AU1197" s="2211" t="s">
        <v>134</v>
      </c>
      <c r="AV1197" s="2209" t="s">
        <v>134</v>
      </c>
      <c r="AW1197" s="2209" t="s">
        <v>3171</v>
      </c>
      <c r="AX1197" s="2209" t="s">
        <v>3213</v>
      </c>
      <c r="AY1197" s="2211" t="s">
        <v>3285</v>
      </c>
    </row>
    <row r="1198" spans="2:65" s="2216" customFormat="1">
      <c r="B1198" s="2217"/>
      <c r="D1198" s="2197" t="s">
        <v>3303</v>
      </c>
      <c r="E1198" s="2218" t="s">
        <v>3146</v>
      </c>
      <c r="F1198" s="2219" t="s">
        <v>3306</v>
      </c>
      <c r="H1198" s="2220">
        <v>4</v>
      </c>
      <c r="L1198" s="2217"/>
      <c r="M1198" s="2221"/>
      <c r="T1198" s="2222"/>
      <c r="AT1198" s="2218" t="s">
        <v>3303</v>
      </c>
      <c r="AU1198" s="2218" t="s">
        <v>134</v>
      </c>
      <c r="AV1198" s="2216" t="s">
        <v>856</v>
      </c>
      <c r="AW1198" s="2216" t="s">
        <v>3171</v>
      </c>
      <c r="AX1198" s="2216" t="s">
        <v>133</v>
      </c>
      <c r="AY1198" s="2218" t="s">
        <v>3285</v>
      </c>
    </row>
    <row r="1199" spans="2:65" s="2070" customFormat="1" ht="33" customHeight="1">
      <c r="B1199" s="2164"/>
      <c r="C1199" s="5609" t="s">
        <v>5249</v>
      </c>
      <c r="D1199" s="4614" t="s">
        <v>135</v>
      </c>
      <c r="E1199" s="4615" t="s">
        <v>5483</v>
      </c>
      <c r="F1199" s="4616" t="s">
        <v>5484</v>
      </c>
      <c r="G1199" s="4617" t="s">
        <v>611</v>
      </c>
      <c r="H1199" s="4618">
        <v>13.26</v>
      </c>
      <c r="I1199" s="5876" t="s">
        <v>11555</v>
      </c>
      <c r="J1199" s="5877"/>
      <c r="K1199" s="4616" t="s">
        <v>142</v>
      </c>
      <c r="L1199" s="2223"/>
      <c r="M1199" s="2224" t="s">
        <v>3146</v>
      </c>
      <c r="N1199" s="2225" t="s">
        <v>3181</v>
      </c>
      <c r="O1199" s="2191">
        <v>0</v>
      </c>
      <c r="P1199" s="2191">
        <f>O1199*H1199</f>
        <v>0</v>
      </c>
      <c r="Q1199" s="2191">
        <v>3.8150000000000003E-2</v>
      </c>
      <c r="R1199" s="2191">
        <f>Q1199*H1199</f>
        <v>0.50586900000000001</v>
      </c>
      <c r="S1199" s="2191">
        <v>0</v>
      </c>
      <c r="T1199" s="2192">
        <f>S1199*H1199</f>
        <v>0</v>
      </c>
      <c r="AR1199" s="2193" t="s">
        <v>3389</v>
      </c>
      <c r="AT1199" s="2193" t="s">
        <v>135</v>
      </c>
      <c r="AU1199" s="2193" t="s">
        <v>134</v>
      </c>
      <c r="AY1199" s="2056" t="s">
        <v>3285</v>
      </c>
      <c r="BE1199" s="2194">
        <f>IF(N1199="základní",J1199,0)</f>
        <v>0</v>
      </c>
      <c r="BF1199" s="2194">
        <f>IF(N1199="snížená",J1199,0)</f>
        <v>0</v>
      </c>
      <c r="BG1199" s="2194">
        <f>IF(N1199="zákl. přenesená",J1199,0)</f>
        <v>0</v>
      </c>
      <c r="BH1199" s="2194">
        <f>IF(N1199="sníž. přenesená",J1199,0)</f>
        <v>0</v>
      </c>
      <c r="BI1199" s="2194">
        <f>IF(N1199="nulová",J1199,0)</f>
        <v>0</v>
      </c>
      <c r="BJ1199" s="2056" t="s">
        <v>134</v>
      </c>
      <c r="BK1199" s="2194">
        <v>0</v>
      </c>
      <c r="BL1199" s="2056" t="s">
        <v>2894</v>
      </c>
      <c r="BM1199" s="2193" t="s">
        <v>5485</v>
      </c>
    </row>
    <row r="1200" spans="2:65" s="2195" customFormat="1">
      <c r="B1200" s="2196"/>
      <c r="D1200" s="2197" t="s">
        <v>3303</v>
      </c>
      <c r="E1200" s="2198" t="s">
        <v>3146</v>
      </c>
      <c r="F1200" s="2199" t="s">
        <v>5479</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5486</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5480</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5487</v>
      </c>
      <c r="H1203" s="2213">
        <v>3.12</v>
      </c>
      <c r="L1203" s="2210"/>
      <c r="M1203" s="2214"/>
      <c r="T1203" s="2215"/>
      <c r="AT1203" s="2211" t="s">
        <v>3303</v>
      </c>
      <c r="AU1203" s="2211" t="s">
        <v>134</v>
      </c>
      <c r="AV1203" s="2209" t="s">
        <v>134</v>
      </c>
      <c r="AW1203" s="2209" t="s">
        <v>3171</v>
      </c>
      <c r="AX1203" s="2209" t="s">
        <v>3213</v>
      </c>
      <c r="AY1203" s="2211" t="s">
        <v>3285</v>
      </c>
    </row>
    <row r="1204" spans="2:65" s="2195" customFormat="1">
      <c r="B1204" s="2196"/>
      <c r="D1204" s="2197" t="s">
        <v>3303</v>
      </c>
      <c r="E1204" s="2198" t="s">
        <v>3146</v>
      </c>
      <c r="F1204" s="2199" t="s">
        <v>5481</v>
      </c>
      <c r="H1204" s="2198" t="s">
        <v>3146</v>
      </c>
      <c r="L1204" s="2196"/>
      <c r="M1204" s="2200"/>
      <c r="T1204" s="2201"/>
      <c r="AT1204" s="2198" t="s">
        <v>3303</v>
      </c>
      <c r="AU1204" s="2198" t="s">
        <v>134</v>
      </c>
      <c r="AV1204" s="2195" t="s">
        <v>133</v>
      </c>
      <c r="AW1204" s="2195" t="s">
        <v>3171</v>
      </c>
      <c r="AX1204" s="2195" t="s">
        <v>3213</v>
      </c>
      <c r="AY1204" s="2198" t="s">
        <v>3285</v>
      </c>
    </row>
    <row r="1205" spans="2:65" s="2209" customFormat="1">
      <c r="B1205" s="2210"/>
      <c r="D1205" s="2197" t="s">
        <v>3303</v>
      </c>
      <c r="E1205" s="2211" t="s">
        <v>3146</v>
      </c>
      <c r="F1205" s="2212" t="s">
        <v>5486</v>
      </c>
      <c r="H1205" s="2213">
        <v>3.38</v>
      </c>
      <c r="L1205" s="2210"/>
      <c r="M1205" s="2214"/>
      <c r="T1205" s="2215"/>
      <c r="AT1205" s="2211" t="s">
        <v>3303</v>
      </c>
      <c r="AU1205" s="2211" t="s">
        <v>134</v>
      </c>
      <c r="AV1205" s="2209" t="s">
        <v>134</v>
      </c>
      <c r="AW1205" s="2209" t="s">
        <v>3171</v>
      </c>
      <c r="AX1205" s="2209" t="s">
        <v>3213</v>
      </c>
      <c r="AY1205" s="2211" t="s">
        <v>3285</v>
      </c>
    </row>
    <row r="1206" spans="2:65" s="2195" customFormat="1">
      <c r="B1206" s="2196"/>
      <c r="D1206" s="2197" t="s">
        <v>3303</v>
      </c>
      <c r="E1206" s="2198" t="s">
        <v>3146</v>
      </c>
      <c r="F1206" s="2199" t="s">
        <v>5482</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5486</v>
      </c>
      <c r="H1207" s="2213">
        <v>3.38</v>
      </c>
      <c r="L1207" s="2210"/>
      <c r="M1207" s="2214"/>
      <c r="T1207" s="2215"/>
      <c r="AT1207" s="2211" t="s">
        <v>3303</v>
      </c>
      <c r="AU1207" s="2211" t="s">
        <v>134</v>
      </c>
      <c r="AV1207" s="2209" t="s">
        <v>134</v>
      </c>
      <c r="AW1207" s="2209" t="s">
        <v>3171</v>
      </c>
      <c r="AX1207" s="2209" t="s">
        <v>3213</v>
      </c>
      <c r="AY1207" s="2211" t="s">
        <v>3285</v>
      </c>
    </row>
    <row r="1208" spans="2:65" s="2216" customFormat="1">
      <c r="B1208" s="2217"/>
      <c r="D1208" s="2197" t="s">
        <v>3303</v>
      </c>
      <c r="E1208" s="2218" t="s">
        <v>3146</v>
      </c>
      <c r="F1208" s="2219" t="s">
        <v>3306</v>
      </c>
      <c r="H1208" s="2220">
        <v>13.26</v>
      </c>
      <c r="L1208" s="2217"/>
      <c r="M1208" s="2221"/>
      <c r="T1208" s="2222"/>
      <c r="AT1208" s="2218" t="s">
        <v>3303</v>
      </c>
      <c r="AU1208" s="2218" t="s">
        <v>134</v>
      </c>
      <c r="AV1208" s="2216" t="s">
        <v>856</v>
      </c>
      <c r="AW1208" s="2216" t="s">
        <v>3171</v>
      </c>
      <c r="AX1208" s="2216" t="s">
        <v>133</v>
      </c>
      <c r="AY1208" s="2218" t="s">
        <v>3285</v>
      </c>
    </row>
    <row r="1209" spans="2:65" s="2070" customFormat="1" ht="24.2" customHeight="1">
      <c r="B1209" s="2164"/>
      <c r="C1209" s="5561" t="s">
        <v>5250</v>
      </c>
      <c r="D1209" s="4608" t="s">
        <v>3286</v>
      </c>
      <c r="E1209" s="4609" t="s">
        <v>5488</v>
      </c>
      <c r="F1209" s="4610" t="s">
        <v>5489</v>
      </c>
      <c r="G1209" s="4611" t="s">
        <v>155</v>
      </c>
      <c r="H1209" s="4612">
        <v>3</v>
      </c>
      <c r="I1209" s="5876" t="s">
        <v>11555</v>
      </c>
      <c r="J1209" s="5877"/>
      <c r="K1209" s="4610" t="s">
        <v>142</v>
      </c>
      <c r="L1209" s="2071"/>
      <c r="M1209" s="2190" t="s">
        <v>3146</v>
      </c>
      <c r="N1209" s="2163" t="s">
        <v>3181</v>
      </c>
      <c r="O1209" s="2191">
        <v>13.65</v>
      </c>
      <c r="P1209" s="2191">
        <f>O1209*H1209</f>
        <v>40.950000000000003</v>
      </c>
      <c r="Q1209" s="2191">
        <v>0</v>
      </c>
      <c r="R1209" s="2191">
        <f>Q1209*H1209</f>
        <v>0</v>
      </c>
      <c r="S1209" s="2191">
        <v>0</v>
      </c>
      <c r="T1209" s="2192">
        <f>S1209*H1209</f>
        <v>0</v>
      </c>
      <c r="AR1209" s="2193" t="s">
        <v>2894</v>
      </c>
      <c r="AT1209" s="2193" t="s">
        <v>3286</v>
      </c>
      <c r="AU1209" s="2193" t="s">
        <v>134</v>
      </c>
      <c r="AY1209" s="2056" t="s">
        <v>3285</v>
      </c>
      <c r="BE1209" s="2194">
        <f>IF(N1209="základní",J1209,0)</f>
        <v>0</v>
      </c>
      <c r="BF1209" s="2194">
        <f>IF(N1209="snížená",J1209,0)</f>
        <v>0</v>
      </c>
      <c r="BG1209" s="2194">
        <f>IF(N1209="zákl. přenesená",J1209,0)</f>
        <v>0</v>
      </c>
      <c r="BH1209" s="2194">
        <f>IF(N1209="sníž. přenesená",J1209,0)</f>
        <v>0</v>
      </c>
      <c r="BI1209" s="2194">
        <f>IF(N1209="nulová",J1209,0)</f>
        <v>0</v>
      </c>
      <c r="BJ1209" s="2056" t="s">
        <v>134</v>
      </c>
      <c r="BK1209" s="2194">
        <v>0</v>
      </c>
      <c r="BL1209" s="2056" t="s">
        <v>2894</v>
      </c>
      <c r="BM1209" s="2193" t="s">
        <v>5490</v>
      </c>
    </row>
    <row r="1210" spans="2:65" s="2195" customFormat="1">
      <c r="B1210" s="2196"/>
      <c r="D1210" s="2197" t="s">
        <v>3303</v>
      </c>
      <c r="E1210" s="2198" t="s">
        <v>3146</v>
      </c>
      <c r="F1210" s="2199" t="s">
        <v>5491</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195" customFormat="1">
      <c r="B1212" s="2196"/>
      <c r="D1212" s="2197" t="s">
        <v>3303</v>
      </c>
      <c r="E1212" s="2198" t="s">
        <v>3146</v>
      </c>
      <c r="F1212" s="2199" t="s">
        <v>5492</v>
      </c>
      <c r="H1212" s="2198" t="s">
        <v>3146</v>
      </c>
      <c r="L1212" s="2196"/>
      <c r="M1212" s="2200"/>
      <c r="T1212" s="2201"/>
      <c r="AT1212" s="2198" t="s">
        <v>3303</v>
      </c>
      <c r="AU1212" s="2198" t="s">
        <v>134</v>
      </c>
      <c r="AV1212" s="2195" t="s">
        <v>133</v>
      </c>
      <c r="AW1212" s="2195" t="s">
        <v>3171</v>
      </c>
      <c r="AX1212" s="2195" t="s">
        <v>3213</v>
      </c>
      <c r="AY1212" s="2198" t="s">
        <v>3285</v>
      </c>
    </row>
    <row r="1213" spans="2:65" s="2209" customFormat="1">
      <c r="B1213" s="2210"/>
      <c r="D1213" s="2197" t="s">
        <v>3303</v>
      </c>
      <c r="E1213" s="2211" t="s">
        <v>3146</v>
      </c>
      <c r="F1213" s="2212" t="s">
        <v>133</v>
      </c>
      <c r="H1213" s="2213">
        <v>1</v>
      </c>
      <c r="L1213" s="2210"/>
      <c r="M1213" s="2214"/>
      <c r="T1213" s="2215"/>
      <c r="AT1213" s="2211" t="s">
        <v>3303</v>
      </c>
      <c r="AU1213" s="2211" t="s">
        <v>134</v>
      </c>
      <c r="AV1213" s="2209" t="s">
        <v>134</v>
      </c>
      <c r="AW1213" s="2209" t="s">
        <v>3171</v>
      </c>
      <c r="AX1213" s="2209" t="s">
        <v>3213</v>
      </c>
      <c r="AY1213" s="2211" t="s">
        <v>3285</v>
      </c>
    </row>
    <row r="1214" spans="2:65" s="2195" customFormat="1">
      <c r="B1214" s="2196"/>
      <c r="D1214" s="2197" t="s">
        <v>3303</v>
      </c>
      <c r="E1214" s="2198" t="s">
        <v>3146</v>
      </c>
      <c r="F1214" s="2199" t="s">
        <v>5493</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133</v>
      </c>
      <c r="H1215" s="2213">
        <v>1</v>
      </c>
      <c r="L1215" s="2210"/>
      <c r="M1215" s="2214"/>
      <c r="T1215" s="2215"/>
      <c r="AT1215" s="2211" t="s">
        <v>3303</v>
      </c>
      <c r="AU1215" s="2211" t="s">
        <v>134</v>
      </c>
      <c r="AV1215" s="2209" t="s">
        <v>134</v>
      </c>
      <c r="AW1215" s="2209" t="s">
        <v>3171</v>
      </c>
      <c r="AX1215" s="2209" t="s">
        <v>3213</v>
      </c>
      <c r="AY1215" s="2211" t="s">
        <v>3285</v>
      </c>
    </row>
    <row r="1216" spans="2:65" s="2216" customFormat="1">
      <c r="B1216" s="2217"/>
      <c r="D1216" s="2197" t="s">
        <v>3303</v>
      </c>
      <c r="E1216" s="2218" t="s">
        <v>3146</v>
      </c>
      <c r="F1216" s="2219" t="s">
        <v>3306</v>
      </c>
      <c r="H1216" s="2220">
        <v>3</v>
      </c>
      <c r="L1216" s="2217"/>
      <c r="M1216" s="2221"/>
      <c r="T1216" s="2222"/>
      <c r="AT1216" s="2218" t="s">
        <v>3303</v>
      </c>
      <c r="AU1216" s="2218" t="s">
        <v>134</v>
      </c>
      <c r="AV1216" s="2216" t="s">
        <v>856</v>
      </c>
      <c r="AW1216" s="2216" t="s">
        <v>3171</v>
      </c>
      <c r="AX1216" s="2216" t="s">
        <v>133</v>
      </c>
      <c r="AY1216" s="2218" t="s">
        <v>3285</v>
      </c>
    </row>
    <row r="1217" spans="2:65" s="2070" customFormat="1" ht="24.2" customHeight="1">
      <c r="B1217" s="2164"/>
      <c r="C1217" s="5609" t="s">
        <v>5251</v>
      </c>
      <c r="D1217" s="4614" t="s">
        <v>135</v>
      </c>
      <c r="E1217" s="4615" t="s">
        <v>5494</v>
      </c>
      <c r="F1217" s="4616" t="s">
        <v>5495</v>
      </c>
      <c r="G1217" s="4617" t="s">
        <v>611</v>
      </c>
      <c r="H1217" s="4618">
        <v>11</v>
      </c>
      <c r="I1217" s="5876" t="s">
        <v>11555</v>
      </c>
      <c r="J1217" s="5877"/>
      <c r="K1217" s="4616" t="s">
        <v>142</v>
      </c>
      <c r="L1217" s="2223"/>
      <c r="M1217" s="2224" t="s">
        <v>3146</v>
      </c>
      <c r="N1217" s="2225" t="s">
        <v>3181</v>
      </c>
      <c r="O1217" s="2191">
        <v>0</v>
      </c>
      <c r="P1217" s="2191">
        <f>O1217*H1217</f>
        <v>0</v>
      </c>
      <c r="Q1217" s="2191">
        <v>2.4230000000000002E-2</v>
      </c>
      <c r="R1217" s="2191">
        <f>Q1217*H1217</f>
        <v>0.26653000000000004</v>
      </c>
      <c r="S1217" s="2191">
        <v>0</v>
      </c>
      <c r="T1217" s="2192">
        <f>S1217*H1217</f>
        <v>0</v>
      </c>
      <c r="AR1217" s="2193" t="s">
        <v>3389</v>
      </c>
      <c r="AT1217" s="2193" t="s">
        <v>135</v>
      </c>
      <c r="AU1217" s="2193" t="s">
        <v>134</v>
      </c>
      <c r="AY1217" s="2056" t="s">
        <v>3285</v>
      </c>
      <c r="BE1217" s="2194">
        <f>IF(N1217="základní",J1217,0)</f>
        <v>0</v>
      </c>
      <c r="BF1217" s="2194">
        <f>IF(N1217="snížená",J1217,0)</f>
        <v>0</v>
      </c>
      <c r="BG1217" s="2194">
        <f>IF(N1217="zákl. přenesená",J1217,0)</f>
        <v>0</v>
      </c>
      <c r="BH1217" s="2194">
        <f>IF(N1217="sníž. přenesená",J1217,0)</f>
        <v>0</v>
      </c>
      <c r="BI1217" s="2194">
        <f>IF(N1217="nulová",J1217,0)</f>
        <v>0</v>
      </c>
      <c r="BJ1217" s="2056" t="s">
        <v>134</v>
      </c>
      <c r="BK1217" s="2194">
        <v>0</v>
      </c>
      <c r="BL1217" s="2056" t="s">
        <v>2894</v>
      </c>
      <c r="BM1217" s="2193" t="s">
        <v>5496</v>
      </c>
    </row>
    <row r="1218" spans="2:65" s="2195" customFormat="1">
      <c r="B1218" s="2196"/>
      <c r="D1218" s="2197" t="s">
        <v>3303</v>
      </c>
      <c r="E1218" s="2198" t="s">
        <v>3146</v>
      </c>
      <c r="F1218" s="2199" t="s">
        <v>5491</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5497</v>
      </c>
      <c r="H1219" s="2213">
        <v>3.74</v>
      </c>
      <c r="L1219" s="2210"/>
      <c r="M1219" s="2214"/>
      <c r="T1219" s="2215"/>
      <c r="AT1219" s="2211" t="s">
        <v>3303</v>
      </c>
      <c r="AU1219" s="2211" t="s">
        <v>134</v>
      </c>
      <c r="AV1219" s="2209" t="s">
        <v>134</v>
      </c>
      <c r="AW1219" s="2209" t="s">
        <v>3171</v>
      </c>
      <c r="AX1219" s="2209" t="s">
        <v>3213</v>
      </c>
      <c r="AY1219" s="2211" t="s">
        <v>3285</v>
      </c>
    </row>
    <row r="1220" spans="2:65" s="2195" customFormat="1">
      <c r="B1220" s="2196"/>
      <c r="D1220" s="2197" t="s">
        <v>3303</v>
      </c>
      <c r="E1220" s="2198" t="s">
        <v>3146</v>
      </c>
      <c r="F1220" s="2199" t="s">
        <v>5492</v>
      </c>
      <c r="H1220" s="2198" t="s">
        <v>3146</v>
      </c>
      <c r="L1220" s="2196"/>
      <c r="M1220" s="2200"/>
      <c r="T1220" s="2201"/>
      <c r="AT1220" s="2198" t="s">
        <v>3303</v>
      </c>
      <c r="AU1220" s="2198" t="s">
        <v>134</v>
      </c>
      <c r="AV1220" s="2195" t="s">
        <v>133</v>
      </c>
      <c r="AW1220" s="2195" t="s">
        <v>3171</v>
      </c>
      <c r="AX1220" s="2195" t="s">
        <v>3213</v>
      </c>
      <c r="AY1220" s="2198" t="s">
        <v>3285</v>
      </c>
    </row>
    <row r="1221" spans="2:65" s="2209" customFormat="1">
      <c r="B1221" s="2210"/>
      <c r="D1221" s="2197" t="s">
        <v>3303</v>
      </c>
      <c r="E1221" s="2211" t="s">
        <v>3146</v>
      </c>
      <c r="F1221" s="2212" t="s">
        <v>5497</v>
      </c>
      <c r="H1221" s="2213">
        <v>3.74</v>
      </c>
      <c r="L1221" s="2210"/>
      <c r="M1221" s="2214"/>
      <c r="T1221" s="2215"/>
      <c r="AT1221" s="2211" t="s">
        <v>3303</v>
      </c>
      <c r="AU1221" s="2211" t="s">
        <v>134</v>
      </c>
      <c r="AV1221" s="2209" t="s">
        <v>134</v>
      </c>
      <c r="AW1221" s="2209" t="s">
        <v>3171</v>
      </c>
      <c r="AX1221" s="2209" t="s">
        <v>3213</v>
      </c>
      <c r="AY1221" s="2211" t="s">
        <v>3285</v>
      </c>
    </row>
    <row r="1222" spans="2:65" s="2195" customFormat="1">
      <c r="B1222" s="2196"/>
      <c r="D1222" s="2197" t="s">
        <v>3303</v>
      </c>
      <c r="E1222" s="2198" t="s">
        <v>3146</v>
      </c>
      <c r="F1222" s="2199" t="s">
        <v>5493</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5498</v>
      </c>
      <c r="H1223" s="2213">
        <v>3.52</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5561" t="s">
        <v>5252</v>
      </c>
      <c r="D1225" s="4608" t="s">
        <v>3286</v>
      </c>
      <c r="E1225" s="4609" t="s">
        <v>5499</v>
      </c>
      <c r="F1225" s="4610" t="s">
        <v>5500</v>
      </c>
      <c r="G1225" s="4611" t="s">
        <v>155</v>
      </c>
      <c r="H1225" s="4612">
        <v>1</v>
      </c>
      <c r="I1225" s="5876" t="s">
        <v>11555</v>
      </c>
      <c r="J1225" s="5877"/>
      <c r="K1225" s="4610" t="s">
        <v>142</v>
      </c>
      <c r="L1225" s="2071"/>
      <c r="M1225" s="2190" t="s">
        <v>3146</v>
      </c>
      <c r="N1225" s="2163" t="s">
        <v>3181</v>
      </c>
      <c r="O1225" s="2191">
        <v>16.399999999999999</v>
      </c>
      <c r="P1225" s="2191">
        <f>O1225*H1225</f>
        <v>16.399999999999999</v>
      </c>
      <c r="Q1225" s="2191">
        <v>0</v>
      </c>
      <c r="R1225" s="2191">
        <f>Q1225*H1225</f>
        <v>0</v>
      </c>
      <c r="S1225" s="2191">
        <v>0</v>
      </c>
      <c r="T1225" s="2192">
        <f>S1225*H1225</f>
        <v>0</v>
      </c>
      <c r="AR1225" s="2193" t="s">
        <v>2894</v>
      </c>
      <c r="AT1225" s="2193" t="s">
        <v>3286</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v>0</v>
      </c>
      <c r="BL1225" s="2056" t="s">
        <v>2894</v>
      </c>
      <c r="BM1225" s="2193" t="s">
        <v>5501</v>
      </c>
    </row>
    <row r="1226" spans="2:65" s="2195" customFormat="1">
      <c r="B1226" s="2196"/>
      <c r="D1226" s="2197" t="s">
        <v>3303</v>
      </c>
      <c r="E1226" s="2198" t="s">
        <v>3146</v>
      </c>
      <c r="F1226" s="2199" t="s">
        <v>5502</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133</v>
      </c>
      <c r="H1227" s="2213">
        <v>1</v>
      </c>
      <c r="L1227" s="2210"/>
      <c r="M1227" s="2214"/>
      <c r="T1227" s="2215"/>
      <c r="AT1227" s="2211" t="s">
        <v>3303</v>
      </c>
      <c r="AU1227" s="2211" t="s">
        <v>134</v>
      </c>
      <c r="AV1227" s="2209" t="s">
        <v>134</v>
      </c>
      <c r="AW1227" s="2209" t="s">
        <v>3171</v>
      </c>
      <c r="AX1227" s="2209" t="s">
        <v>3213</v>
      </c>
      <c r="AY1227" s="2211" t="s">
        <v>3285</v>
      </c>
    </row>
    <row r="1228" spans="2:65" s="2216" customFormat="1">
      <c r="B1228" s="2217"/>
      <c r="D1228" s="2197" t="s">
        <v>3303</v>
      </c>
      <c r="E1228" s="2218" t="s">
        <v>3146</v>
      </c>
      <c r="F1228" s="2219" t="s">
        <v>3306</v>
      </c>
      <c r="H1228" s="2220">
        <v>1</v>
      </c>
      <c r="L1228" s="2217"/>
      <c r="M1228" s="2221"/>
      <c r="T1228" s="2222"/>
      <c r="AT1228" s="2218" t="s">
        <v>3303</v>
      </c>
      <c r="AU1228" s="2218" t="s">
        <v>134</v>
      </c>
      <c r="AV1228" s="2216" t="s">
        <v>856</v>
      </c>
      <c r="AW1228" s="2216" t="s">
        <v>3171</v>
      </c>
      <c r="AX1228" s="2216" t="s">
        <v>133</v>
      </c>
      <c r="AY1228" s="2218" t="s">
        <v>3285</v>
      </c>
    </row>
    <row r="1229" spans="2:65" s="2070" customFormat="1" ht="24.2" customHeight="1">
      <c r="B1229" s="2164"/>
      <c r="C1229" s="5609" t="s">
        <v>5253</v>
      </c>
      <c r="D1229" s="4614" t="s">
        <v>135</v>
      </c>
      <c r="E1229" s="4615" t="s">
        <v>5503</v>
      </c>
      <c r="F1229" s="4616" t="s">
        <v>5504</v>
      </c>
      <c r="G1229" s="4617" t="s">
        <v>611</v>
      </c>
      <c r="H1229" s="4618">
        <v>5.2</v>
      </c>
      <c r="I1229" s="5876" t="s">
        <v>11555</v>
      </c>
      <c r="J1229" s="5877"/>
      <c r="K1229" s="4616" t="s">
        <v>142</v>
      </c>
      <c r="L1229" s="2223"/>
      <c r="M1229" s="2224" t="s">
        <v>3146</v>
      </c>
      <c r="N1229" s="2225" t="s">
        <v>3181</v>
      </c>
      <c r="O1229" s="2191">
        <v>0</v>
      </c>
      <c r="P1229" s="2191">
        <f>O1229*H1229</f>
        <v>0</v>
      </c>
      <c r="Q1229" s="2191">
        <v>3.8289999999999998E-2</v>
      </c>
      <c r="R1229" s="2191">
        <f>Q1229*H1229</f>
        <v>0.19910800000000001</v>
      </c>
      <c r="S1229" s="2191">
        <v>0</v>
      </c>
      <c r="T1229" s="2192">
        <f>S1229*H1229</f>
        <v>0</v>
      </c>
      <c r="AR1229" s="2193" t="s">
        <v>3389</v>
      </c>
      <c r="AT1229" s="2193" t="s">
        <v>135</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v>0</v>
      </c>
      <c r="BL1229" s="2056" t="s">
        <v>2894</v>
      </c>
      <c r="BM1229" s="2193" t="s">
        <v>5505</v>
      </c>
    </row>
    <row r="1230" spans="2:65" s="2195" customFormat="1">
      <c r="B1230" s="2196"/>
      <c r="D1230" s="2197" t="s">
        <v>3303</v>
      </c>
      <c r="E1230" s="2198" t="s">
        <v>3146</v>
      </c>
      <c r="F1230" s="2199" t="s">
        <v>5502</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5506</v>
      </c>
      <c r="H1231" s="2213">
        <v>5.2</v>
      </c>
      <c r="L1231" s="2210"/>
      <c r="M1231" s="2214"/>
      <c r="T1231" s="2215"/>
      <c r="AT1231" s="2211" t="s">
        <v>3303</v>
      </c>
      <c r="AU1231" s="2211" t="s">
        <v>134</v>
      </c>
      <c r="AV1231" s="2209" t="s">
        <v>134</v>
      </c>
      <c r="AW1231" s="2209" t="s">
        <v>3171</v>
      </c>
      <c r="AX1231" s="2209" t="s">
        <v>133</v>
      </c>
      <c r="AY1231" s="2211" t="s">
        <v>3285</v>
      </c>
    </row>
    <row r="1232" spans="2:65" s="2070" customFormat="1" ht="24.2" customHeight="1">
      <c r="B1232" s="2164"/>
      <c r="C1232" s="5609" t="s">
        <v>5254</v>
      </c>
      <c r="D1232" s="4614" t="s">
        <v>135</v>
      </c>
      <c r="E1232" s="4615" t="s">
        <v>5507</v>
      </c>
      <c r="F1232" s="4616" t="s">
        <v>5508</v>
      </c>
      <c r="G1232" s="4617" t="s">
        <v>155</v>
      </c>
      <c r="H1232" s="4618">
        <v>1</v>
      </c>
      <c r="I1232" s="5876" t="s">
        <v>11555</v>
      </c>
      <c r="J1232" s="5877"/>
      <c r="K1232" s="4616" t="s">
        <v>3146</v>
      </c>
      <c r="L1232" s="2223"/>
      <c r="M1232" s="2224" t="s">
        <v>3146</v>
      </c>
      <c r="N1232" s="2225" t="s">
        <v>3181</v>
      </c>
      <c r="O1232" s="2191">
        <v>0</v>
      </c>
      <c r="P1232" s="2191">
        <f>O1232*H1232</f>
        <v>0</v>
      </c>
      <c r="Q1232" s="2191">
        <v>0</v>
      </c>
      <c r="R1232" s="2191">
        <f>Q1232*H1232</f>
        <v>0</v>
      </c>
      <c r="S1232" s="2191">
        <v>0</v>
      </c>
      <c r="T1232" s="2192">
        <f>S1232*H1232</f>
        <v>0</v>
      </c>
      <c r="AR1232" s="2193" t="s">
        <v>3389</v>
      </c>
      <c r="AT1232" s="2193" t="s">
        <v>135</v>
      </c>
      <c r="AU1232" s="2193" t="s">
        <v>134</v>
      </c>
      <c r="AY1232" s="2056" t="s">
        <v>3285</v>
      </c>
      <c r="BE1232" s="2194">
        <f>IF(N1232="základní",J1232,0)</f>
        <v>0</v>
      </c>
      <c r="BF1232" s="2194">
        <f>IF(N1232="snížená",J1232,0)</f>
        <v>0</v>
      </c>
      <c r="BG1232" s="2194">
        <f>IF(N1232="zákl. přenesená",J1232,0)</f>
        <v>0</v>
      </c>
      <c r="BH1232" s="2194">
        <f>IF(N1232="sníž. přenesená",J1232,0)</f>
        <v>0</v>
      </c>
      <c r="BI1232" s="2194">
        <f>IF(N1232="nulová",J1232,0)</f>
        <v>0</v>
      </c>
      <c r="BJ1232" s="2056" t="s">
        <v>134</v>
      </c>
      <c r="BK1232" s="2194">
        <v>0</v>
      </c>
      <c r="BL1232" s="2056" t="s">
        <v>2894</v>
      </c>
      <c r="BM1232" s="2193" t="s">
        <v>5509</v>
      </c>
    </row>
    <row r="1233" spans="2:65" s="2070" customFormat="1" ht="24.2" customHeight="1">
      <c r="B1233" s="2164"/>
      <c r="C1233" s="5561" t="s">
        <v>5255</v>
      </c>
      <c r="D1233" s="4608" t="s">
        <v>3286</v>
      </c>
      <c r="E1233" s="4609" t="s">
        <v>5510</v>
      </c>
      <c r="F1233" s="4610" t="s">
        <v>5511</v>
      </c>
      <c r="G1233" s="4611" t="s">
        <v>155</v>
      </c>
      <c r="H1233" s="4612">
        <v>4</v>
      </c>
      <c r="I1233" s="5876" t="s">
        <v>11555</v>
      </c>
      <c r="J1233" s="5877"/>
      <c r="K1233" s="4610" t="s">
        <v>142</v>
      </c>
      <c r="L1233" s="2071"/>
      <c r="M1233" s="2190" t="s">
        <v>3146</v>
      </c>
      <c r="N1233" s="2163" t="s">
        <v>3181</v>
      </c>
      <c r="O1233" s="2191">
        <v>2.0499999999999998</v>
      </c>
      <c r="P1233" s="2191">
        <f>O1233*H1233</f>
        <v>8.1999999999999993</v>
      </c>
      <c r="Q1233" s="2191">
        <v>0</v>
      </c>
      <c r="R1233" s="2191">
        <f>Q1233*H1233</f>
        <v>0</v>
      </c>
      <c r="S1233" s="2191">
        <v>0</v>
      </c>
      <c r="T1233" s="2192">
        <f>S1233*H1233</f>
        <v>0</v>
      </c>
      <c r="AR1233" s="2193" t="s">
        <v>2894</v>
      </c>
      <c r="AT1233" s="2193" t="s">
        <v>3286</v>
      </c>
      <c r="AU1233" s="2193" t="s">
        <v>134</v>
      </c>
      <c r="AY1233" s="2056" t="s">
        <v>3285</v>
      </c>
      <c r="BE1233" s="2194">
        <f>IF(N1233="základní",J1233,0)</f>
        <v>0</v>
      </c>
      <c r="BF1233" s="2194">
        <f>IF(N1233="snížená",J1233,0)</f>
        <v>0</v>
      </c>
      <c r="BG1233" s="2194">
        <f>IF(N1233="zákl. přenesená",J1233,0)</f>
        <v>0</v>
      </c>
      <c r="BH1233" s="2194">
        <f>IF(N1233="sníž. přenesená",J1233,0)</f>
        <v>0</v>
      </c>
      <c r="BI1233" s="2194">
        <f>IF(N1233="nulová",J1233,0)</f>
        <v>0</v>
      </c>
      <c r="BJ1233" s="2056" t="s">
        <v>134</v>
      </c>
      <c r="BK1233" s="2194">
        <v>0</v>
      </c>
      <c r="BL1233" s="2056" t="s">
        <v>2894</v>
      </c>
      <c r="BM1233" s="2193" t="s">
        <v>5512</v>
      </c>
    </row>
    <row r="1234" spans="2:65" s="2195" customFormat="1">
      <c r="B1234" s="2196"/>
      <c r="D1234" s="2197" t="s">
        <v>3303</v>
      </c>
      <c r="E1234" s="2198" t="s">
        <v>3146</v>
      </c>
      <c r="F1234" s="2199" t="s">
        <v>5513</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5514</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195" customFormat="1">
      <c r="B1238" s="2196"/>
      <c r="D1238" s="2197" t="s">
        <v>3303</v>
      </c>
      <c r="E1238" s="2198" t="s">
        <v>3146</v>
      </c>
      <c r="F1238" s="2199" t="s">
        <v>5515</v>
      </c>
      <c r="H1238" s="2198" t="s">
        <v>3146</v>
      </c>
      <c r="L1238" s="2196"/>
      <c r="M1238" s="2200"/>
      <c r="T1238" s="2201"/>
      <c r="AT1238" s="2198" t="s">
        <v>3303</v>
      </c>
      <c r="AU1238" s="2198" t="s">
        <v>134</v>
      </c>
      <c r="AV1238" s="2195" t="s">
        <v>133</v>
      </c>
      <c r="AW1238" s="2195" t="s">
        <v>3171</v>
      </c>
      <c r="AX1238" s="2195" t="s">
        <v>3213</v>
      </c>
      <c r="AY1238" s="2198" t="s">
        <v>3285</v>
      </c>
    </row>
    <row r="1239" spans="2:65" s="2209" customFormat="1">
      <c r="B1239" s="2210"/>
      <c r="D1239" s="2197" t="s">
        <v>3303</v>
      </c>
      <c r="E1239" s="2211" t="s">
        <v>3146</v>
      </c>
      <c r="F1239" s="2212" t="s">
        <v>133</v>
      </c>
      <c r="H1239" s="2213">
        <v>1</v>
      </c>
      <c r="L1239" s="2210"/>
      <c r="M1239" s="2214"/>
      <c r="T1239" s="2215"/>
      <c r="AT1239" s="2211" t="s">
        <v>3303</v>
      </c>
      <c r="AU1239" s="2211" t="s">
        <v>134</v>
      </c>
      <c r="AV1239" s="2209" t="s">
        <v>134</v>
      </c>
      <c r="AW1239" s="2209" t="s">
        <v>3171</v>
      </c>
      <c r="AX1239" s="2209" t="s">
        <v>3213</v>
      </c>
      <c r="AY1239" s="2211" t="s">
        <v>3285</v>
      </c>
    </row>
    <row r="1240" spans="2:65" s="2195" customFormat="1">
      <c r="B1240" s="2196"/>
      <c r="D1240" s="2197" t="s">
        <v>3303</v>
      </c>
      <c r="E1240" s="2198" t="s">
        <v>3146</v>
      </c>
      <c r="F1240" s="2199" t="s">
        <v>5516</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216" customFormat="1">
      <c r="B1242" s="2217"/>
      <c r="D1242" s="2197" t="s">
        <v>3303</v>
      </c>
      <c r="E1242" s="2218" t="s">
        <v>3146</v>
      </c>
      <c r="F1242" s="2219" t="s">
        <v>3306</v>
      </c>
      <c r="H1242" s="2220">
        <v>4</v>
      </c>
      <c r="L1242" s="2217"/>
      <c r="M1242" s="2221"/>
      <c r="T1242" s="2222"/>
      <c r="AT1242" s="2218" t="s">
        <v>3303</v>
      </c>
      <c r="AU1242" s="2218" t="s">
        <v>134</v>
      </c>
      <c r="AV1242" s="2216" t="s">
        <v>856</v>
      </c>
      <c r="AW1242" s="2216" t="s">
        <v>3171</v>
      </c>
      <c r="AX1242" s="2216" t="s">
        <v>133</v>
      </c>
      <c r="AY1242" s="2218" t="s">
        <v>3285</v>
      </c>
    </row>
    <row r="1243" spans="2:65" s="2070" customFormat="1" ht="16.5" customHeight="1">
      <c r="B1243" s="2164"/>
      <c r="C1243" s="5609" t="s">
        <v>5256</v>
      </c>
      <c r="D1243" s="4614" t="s">
        <v>135</v>
      </c>
      <c r="E1243" s="4615" t="s">
        <v>5517</v>
      </c>
      <c r="F1243" s="4616" t="s">
        <v>5518</v>
      </c>
      <c r="G1243" s="4617" t="s">
        <v>155</v>
      </c>
      <c r="H1243" s="4618">
        <v>4</v>
      </c>
      <c r="I1243" s="5876" t="s">
        <v>11555</v>
      </c>
      <c r="J1243" s="5877"/>
      <c r="K1243" s="4616" t="s">
        <v>3146</v>
      </c>
      <c r="L1243" s="2223"/>
      <c r="M1243" s="2224" t="s">
        <v>3146</v>
      </c>
      <c r="N1243" s="2225" t="s">
        <v>3181</v>
      </c>
      <c r="O1243" s="2191">
        <v>0</v>
      </c>
      <c r="P1243" s="2191">
        <f>O1243*H1243</f>
        <v>0</v>
      </c>
      <c r="Q1243" s="2191">
        <v>7.2370000000000004E-2</v>
      </c>
      <c r="R1243" s="2191">
        <f>Q1243*H1243</f>
        <v>0.28948000000000002</v>
      </c>
      <c r="S1243" s="2191">
        <v>0</v>
      </c>
      <c r="T1243" s="2192">
        <f>S1243*H1243</f>
        <v>0</v>
      </c>
      <c r="AR1243" s="2193" t="s">
        <v>3389</v>
      </c>
      <c r="AT1243" s="2193" t="s">
        <v>135</v>
      </c>
      <c r="AU1243" s="2193" t="s">
        <v>134</v>
      </c>
      <c r="AY1243" s="2056" t="s">
        <v>3285</v>
      </c>
      <c r="BE1243" s="2194">
        <f>IF(N1243="základní",J1243,0)</f>
        <v>0</v>
      </c>
      <c r="BF1243" s="2194">
        <f>IF(N1243="snížená",J1243,0)</f>
        <v>0</v>
      </c>
      <c r="BG1243" s="2194">
        <f>IF(N1243="zákl. přenesená",J1243,0)</f>
        <v>0</v>
      </c>
      <c r="BH1243" s="2194">
        <f>IF(N1243="sníž. přenesená",J1243,0)</f>
        <v>0</v>
      </c>
      <c r="BI1243" s="2194">
        <f>IF(N1243="nulová",J1243,0)</f>
        <v>0</v>
      </c>
      <c r="BJ1243" s="2056" t="s">
        <v>134</v>
      </c>
      <c r="BK1243" s="2194">
        <v>0</v>
      </c>
      <c r="BL1243" s="2056" t="s">
        <v>2894</v>
      </c>
      <c r="BM1243" s="2193" t="s">
        <v>5519</v>
      </c>
    </row>
    <row r="1244" spans="2:65" s="2195" customFormat="1">
      <c r="B1244" s="2196"/>
      <c r="D1244" s="2197" t="s">
        <v>3303</v>
      </c>
      <c r="E1244" s="2198" t="s">
        <v>3146</v>
      </c>
      <c r="F1244" s="2199" t="s">
        <v>5513</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5514</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195" customFormat="1">
      <c r="B1248" s="2196"/>
      <c r="D1248" s="2197" t="s">
        <v>3303</v>
      </c>
      <c r="E1248" s="2198" t="s">
        <v>3146</v>
      </c>
      <c r="F1248" s="2199" t="s">
        <v>5515</v>
      </c>
      <c r="H1248" s="2198" t="s">
        <v>3146</v>
      </c>
      <c r="L1248" s="2196"/>
      <c r="M1248" s="2200"/>
      <c r="T1248" s="2201"/>
      <c r="AT1248" s="2198" t="s">
        <v>3303</v>
      </c>
      <c r="AU1248" s="2198" t="s">
        <v>134</v>
      </c>
      <c r="AV1248" s="2195" t="s">
        <v>133</v>
      </c>
      <c r="AW1248" s="2195" t="s">
        <v>3171</v>
      </c>
      <c r="AX1248" s="2195" t="s">
        <v>3213</v>
      </c>
      <c r="AY1248" s="2198" t="s">
        <v>3285</v>
      </c>
    </row>
    <row r="1249" spans="2:65" s="2209" customFormat="1">
      <c r="B1249" s="2210"/>
      <c r="D1249" s="2197" t="s">
        <v>3303</v>
      </c>
      <c r="E1249" s="2211" t="s">
        <v>3146</v>
      </c>
      <c r="F1249" s="2212" t="s">
        <v>133</v>
      </c>
      <c r="H1249" s="2213">
        <v>1</v>
      </c>
      <c r="L1249" s="2210"/>
      <c r="M1249" s="2214"/>
      <c r="T1249" s="2215"/>
      <c r="AT1249" s="2211" t="s">
        <v>3303</v>
      </c>
      <c r="AU1249" s="2211" t="s">
        <v>134</v>
      </c>
      <c r="AV1249" s="2209" t="s">
        <v>134</v>
      </c>
      <c r="AW1249" s="2209" t="s">
        <v>3171</v>
      </c>
      <c r="AX1249" s="2209" t="s">
        <v>3213</v>
      </c>
      <c r="AY1249" s="2211" t="s">
        <v>3285</v>
      </c>
    </row>
    <row r="1250" spans="2:65" s="2195" customFormat="1">
      <c r="B1250" s="2196"/>
      <c r="D1250" s="2197" t="s">
        <v>3303</v>
      </c>
      <c r="E1250" s="2198" t="s">
        <v>3146</v>
      </c>
      <c r="F1250" s="2199" t="s">
        <v>5516</v>
      </c>
      <c r="H1250" s="2198" t="s">
        <v>3146</v>
      </c>
      <c r="L1250" s="2196"/>
      <c r="M1250" s="2200"/>
      <c r="T1250" s="2201"/>
      <c r="AT1250" s="2198" t="s">
        <v>3303</v>
      </c>
      <c r="AU1250" s="2198" t="s">
        <v>134</v>
      </c>
      <c r="AV1250" s="2195" t="s">
        <v>133</v>
      </c>
      <c r="AW1250" s="2195" t="s">
        <v>3171</v>
      </c>
      <c r="AX1250" s="2195" t="s">
        <v>3213</v>
      </c>
      <c r="AY1250" s="2198" t="s">
        <v>3285</v>
      </c>
    </row>
    <row r="1251" spans="2:65" s="2209" customFormat="1">
      <c r="B1251" s="2210"/>
      <c r="D1251" s="2197" t="s">
        <v>3303</v>
      </c>
      <c r="E1251" s="2211" t="s">
        <v>3146</v>
      </c>
      <c r="F1251" s="2212" t="s">
        <v>133</v>
      </c>
      <c r="H1251" s="2213">
        <v>1</v>
      </c>
      <c r="L1251" s="2210"/>
      <c r="M1251" s="2214"/>
      <c r="T1251" s="2215"/>
      <c r="AT1251" s="2211" t="s">
        <v>3303</v>
      </c>
      <c r="AU1251" s="2211" t="s">
        <v>134</v>
      </c>
      <c r="AV1251" s="2209" t="s">
        <v>134</v>
      </c>
      <c r="AW1251" s="2209" t="s">
        <v>3171</v>
      </c>
      <c r="AX1251" s="2209" t="s">
        <v>3213</v>
      </c>
      <c r="AY1251" s="2211" t="s">
        <v>3285</v>
      </c>
    </row>
    <row r="1252" spans="2:65" s="2216" customFormat="1">
      <c r="B1252" s="2217"/>
      <c r="D1252" s="2197" t="s">
        <v>3303</v>
      </c>
      <c r="E1252" s="2218" t="s">
        <v>3146</v>
      </c>
      <c r="F1252" s="2219" t="s">
        <v>3306</v>
      </c>
      <c r="H1252" s="2220">
        <v>4</v>
      </c>
      <c r="L1252" s="2217"/>
      <c r="M1252" s="2221"/>
      <c r="T1252" s="2222"/>
      <c r="AT1252" s="2218" t="s">
        <v>3303</v>
      </c>
      <c r="AU1252" s="2218" t="s">
        <v>134</v>
      </c>
      <c r="AV1252" s="2216" t="s">
        <v>856</v>
      </c>
      <c r="AW1252" s="2216" t="s">
        <v>3171</v>
      </c>
      <c r="AX1252" s="2216" t="s">
        <v>133</v>
      </c>
      <c r="AY1252" s="2218" t="s">
        <v>3285</v>
      </c>
    </row>
    <row r="1253" spans="2:65" s="2070" customFormat="1" ht="24.2" customHeight="1">
      <c r="B1253" s="2164"/>
      <c r="C1253" s="5561" t="s">
        <v>5257</v>
      </c>
      <c r="D1253" s="4608" t="s">
        <v>3286</v>
      </c>
      <c r="E1253" s="4609" t="s">
        <v>5510</v>
      </c>
      <c r="F1253" s="4610" t="s">
        <v>5511</v>
      </c>
      <c r="G1253" s="4611" t="s">
        <v>155</v>
      </c>
      <c r="H1253" s="4612">
        <v>6</v>
      </c>
      <c r="I1253" s="5876" t="s">
        <v>11555</v>
      </c>
      <c r="J1253" s="5877"/>
      <c r="K1253" s="4610" t="s">
        <v>142</v>
      </c>
      <c r="L1253" s="2071"/>
      <c r="M1253" s="2190" t="s">
        <v>3146</v>
      </c>
      <c r="N1253" s="2163" t="s">
        <v>3181</v>
      </c>
      <c r="O1253" s="2191">
        <v>2.0499999999999998</v>
      </c>
      <c r="P1253" s="2191">
        <f>O1253*H1253</f>
        <v>12.299999999999999</v>
      </c>
      <c r="Q1253" s="2191">
        <v>0</v>
      </c>
      <c r="R1253" s="2191">
        <f>Q1253*H1253</f>
        <v>0</v>
      </c>
      <c r="S1253" s="2191">
        <v>0</v>
      </c>
      <c r="T1253" s="2192">
        <f>S1253*H1253</f>
        <v>0</v>
      </c>
      <c r="AR1253" s="2193" t="s">
        <v>2894</v>
      </c>
      <c r="AT1253" s="2193" t="s">
        <v>3286</v>
      </c>
      <c r="AU1253" s="2193" t="s">
        <v>134</v>
      </c>
      <c r="AY1253" s="2056" t="s">
        <v>3285</v>
      </c>
      <c r="BE1253" s="2194">
        <f>IF(N1253="základní",J1253,0)</f>
        <v>0</v>
      </c>
      <c r="BF1253" s="2194">
        <f>IF(N1253="snížená",J1253,0)</f>
        <v>0</v>
      </c>
      <c r="BG1253" s="2194">
        <f>IF(N1253="zákl. přenesená",J1253,0)</f>
        <v>0</v>
      </c>
      <c r="BH1253" s="2194">
        <f>IF(N1253="sníž. přenesená",J1253,0)</f>
        <v>0</v>
      </c>
      <c r="BI1253" s="2194">
        <f>IF(N1253="nulová",J1253,0)</f>
        <v>0</v>
      </c>
      <c r="BJ1253" s="2056" t="s">
        <v>134</v>
      </c>
      <c r="BK1253" s="2194">
        <v>0</v>
      </c>
      <c r="BL1253" s="2056" t="s">
        <v>2894</v>
      </c>
      <c r="BM1253" s="2193" t="s">
        <v>11344</v>
      </c>
    </row>
    <row r="1254" spans="2:65" s="2209" customFormat="1">
      <c r="B1254" s="2210"/>
      <c r="D1254" s="2197" t="s">
        <v>3303</v>
      </c>
      <c r="E1254" s="2211" t="s">
        <v>3146</v>
      </c>
      <c r="F1254" s="2212" t="s">
        <v>4890</v>
      </c>
      <c r="H1254" s="2213">
        <v>6</v>
      </c>
      <c r="L1254" s="2210"/>
      <c r="M1254" s="2214"/>
      <c r="T1254" s="2215"/>
      <c r="AT1254" s="2211" t="s">
        <v>3303</v>
      </c>
      <c r="AU1254" s="2211" t="s">
        <v>134</v>
      </c>
      <c r="AV1254" s="2209" t="s">
        <v>134</v>
      </c>
      <c r="AW1254" s="2209" t="s">
        <v>3171</v>
      </c>
      <c r="AX1254" s="2209" t="s">
        <v>3213</v>
      </c>
      <c r="AY1254" s="2211" t="s">
        <v>3285</v>
      </c>
    </row>
    <row r="1255" spans="2:65" s="2216" customFormat="1">
      <c r="B1255" s="2217"/>
      <c r="D1255" s="2197" t="s">
        <v>3303</v>
      </c>
      <c r="E1255" s="2218" t="s">
        <v>3146</v>
      </c>
      <c r="F1255" s="2219" t="s">
        <v>3306</v>
      </c>
      <c r="H1255" s="2220">
        <v>6</v>
      </c>
      <c r="L1255" s="2217"/>
      <c r="M1255" s="2221"/>
      <c r="T1255" s="2222"/>
      <c r="AT1255" s="2218" t="s">
        <v>3303</v>
      </c>
      <c r="AU1255" s="2218" t="s">
        <v>134</v>
      </c>
      <c r="AV1255" s="2216" t="s">
        <v>856</v>
      </c>
      <c r="AW1255" s="2216" t="s">
        <v>3171</v>
      </c>
      <c r="AX1255" s="2216" t="s">
        <v>133</v>
      </c>
      <c r="AY1255" s="2218" t="s">
        <v>3285</v>
      </c>
    </row>
    <row r="1256" spans="2:65" s="2070" customFormat="1" ht="24.2" customHeight="1">
      <c r="B1256" s="2164"/>
      <c r="C1256" s="5609" t="s">
        <v>5258</v>
      </c>
      <c r="D1256" s="4614" t="s">
        <v>135</v>
      </c>
      <c r="E1256" s="4615" t="s">
        <v>11345</v>
      </c>
      <c r="F1256" s="4616" t="s">
        <v>11346</v>
      </c>
      <c r="G1256" s="4617" t="s">
        <v>155</v>
      </c>
      <c r="H1256" s="4618">
        <v>4</v>
      </c>
      <c r="I1256" s="5876" t="s">
        <v>11555</v>
      </c>
      <c r="J1256" s="5877"/>
      <c r="K1256" s="4616" t="s">
        <v>142</v>
      </c>
      <c r="L1256" s="2223"/>
      <c r="M1256" s="2224" t="s">
        <v>3146</v>
      </c>
      <c r="N1256" s="2225" t="s">
        <v>3181</v>
      </c>
      <c r="O1256" s="2191">
        <v>0</v>
      </c>
      <c r="P1256" s="2191">
        <f>O1256*H1256</f>
        <v>0</v>
      </c>
      <c r="Q1256" s="2191">
        <v>6.5000000000000002E-2</v>
      </c>
      <c r="R1256" s="2191">
        <f>Q1256*H1256</f>
        <v>0.26</v>
      </c>
      <c r="S1256" s="2191">
        <v>0</v>
      </c>
      <c r="T1256" s="2192">
        <f>S1256*H1256</f>
        <v>0</v>
      </c>
      <c r="AR1256" s="2193" t="s">
        <v>3389</v>
      </c>
      <c r="AT1256" s="2193" t="s">
        <v>135</v>
      </c>
      <c r="AU1256" s="2193" t="s">
        <v>134</v>
      </c>
      <c r="AY1256" s="2056" t="s">
        <v>3285</v>
      </c>
      <c r="BE1256" s="2194">
        <f>IF(N1256="základní",J1256,0)</f>
        <v>0</v>
      </c>
      <c r="BF1256" s="2194">
        <f>IF(N1256="snížená",J1256,0)</f>
        <v>0</v>
      </c>
      <c r="BG1256" s="2194">
        <f>IF(N1256="zákl. přenesená",J1256,0)</f>
        <v>0</v>
      </c>
      <c r="BH1256" s="2194">
        <f>IF(N1256="sníž. přenesená",J1256,0)</f>
        <v>0</v>
      </c>
      <c r="BI1256" s="2194">
        <f>IF(N1256="nulová",J1256,0)</f>
        <v>0</v>
      </c>
      <c r="BJ1256" s="2056" t="s">
        <v>134</v>
      </c>
      <c r="BK1256" s="2194">
        <v>0</v>
      </c>
      <c r="BL1256" s="2056" t="s">
        <v>2894</v>
      </c>
      <c r="BM1256" s="2193" t="s">
        <v>11347</v>
      </c>
    </row>
    <row r="1257" spans="2:65" s="2209" customFormat="1">
      <c r="B1257" s="2210"/>
      <c r="D1257" s="2197" t="s">
        <v>3303</v>
      </c>
      <c r="E1257" s="2211" t="s">
        <v>3146</v>
      </c>
      <c r="F1257" s="2212" t="s">
        <v>11348</v>
      </c>
      <c r="H1257" s="2213">
        <v>1</v>
      </c>
      <c r="L1257" s="2210"/>
      <c r="M1257" s="2214"/>
      <c r="T1257" s="2215"/>
      <c r="AT1257" s="2211" t="s">
        <v>3303</v>
      </c>
      <c r="AU1257" s="2211" t="s">
        <v>134</v>
      </c>
      <c r="AV1257" s="2209" t="s">
        <v>134</v>
      </c>
      <c r="AW1257" s="2209" t="s">
        <v>3171</v>
      </c>
      <c r="AX1257" s="2209" t="s">
        <v>3213</v>
      </c>
      <c r="AY1257" s="2211" t="s">
        <v>3285</v>
      </c>
    </row>
    <row r="1258" spans="2:65" s="2209" customFormat="1">
      <c r="B1258" s="2210"/>
      <c r="D1258" s="2197" t="s">
        <v>3303</v>
      </c>
      <c r="E1258" s="2211" t="s">
        <v>3146</v>
      </c>
      <c r="F1258" s="2212" t="s">
        <v>11349</v>
      </c>
      <c r="H1258" s="2213">
        <v>1</v>
      </c>
      <c r="L1258" s="2210"/>
      <c r="M1258" s="2214"/>
      <c r="T1258" s="2215"/>
      <c r="AT1258" s="2211" t="s">
        <v>3303</v>
      </c>
      <c r="AU1258" s="2211" t="s">
        <v>134</v>
      </c>
      <c r="AV1258" s="2209" t="s">
        <v>134</v>
      </c>
      <c r="AW1258" s="2209" t="s">
        <v>3171</v>
      </c>
      <c r="AX1258" s="2209" t="s">
        <v>3213</v>
      </c>
      <c r="AY1258" s="2211" t="s">
        <v>3285</v>
      </c>
    </row>
    <row r="1259" spans="2:65" s="2209" customFormat="1">
      <c r="B1259" s="2210"/>
      <c r="D1259" s="2197" t="s">
        <v>3303</v>
      </c>
      <c r="E1259" s="2211" t="s">
        <v>3146</v>
      </c>
      <c r="F1259" s="2212" t="s">
        <v>11350</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11351</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4</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5609" t="s">
        <v>5259</v>
      </c>
      <c r="D1262" s="4614" t="s">
        <v>135</v>
      </c>
      <c r="E1262" s="4615" t="s">
        <v>11352</v>
      </c>
      <c r="F1262" s="4616" t="s">
        <v>11353</v>
      </c>
      <c r="G1262" s="4617" t="s">
        <v>155</v>
      </c>
      <c r="H1262" s="4618">
        <v>2</v>
      </c>
      <c r="I1262" s="5876" t="s">
        <v>11555</v>
      </c>
      <c r="J1262" s="5877"/>
      <c r="K1262" s="4616" t="s">
        <v>142</v>
      </c>
      <c r="L1262" s="2223"/>
      <c r="M1262" s="2224" t="s">
        <v>3146</v>
      </c>
      <c r="N1262" s="2225" t="s">
        <v>3181</v>
      </c>
      <c r="O1262" s="2191">
        <v>0</v>
      </c>
      <c r="P1262" s="2191">
        <f>O1262*H1262</f>
        <v>0</v>
      </c>
      <c r="Q1262" s="2191">
        <v>5.2999999999999999E-2</v>
      </c>
      <c r="R1262" s="2191">
        <f>Q1262*H1262</f>
        <v>0.106</v>
      </c>
      <c r="S1262" s="2191">
        <v>0</v>
      </c>
      <c r="T1262" s="2192">
        <f>S1262*H1262</f>
        <v>0</v>
      </c>
      <c r="AR1262" s="2193" t="s">
        <v>3389</v>
      </c>
      <c r="AT1262" s="2193" t="s">
        <v>135</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v>0</v>
      </c>
      <c r="BL1262" s="2056" t="s">
        <v>2894</v>
      </c>
      <c r="BM1262" s="2193" t="s">
        <v>11354</v>
      </c>
    </row>
    <row r="1263" spans="2:65" s="2209" customFormat="1">
      <c r="B1263" s="2210"/>
      <c r="D1263" s="2197" t="s">
        <v>3303</v>
      </c>
      <c r="E1263" s="2211" t="s">
        <v>3146</v>
      </c>
      <c r="F1263" s="2212" t="s">
        <v>11355</v>
      </c>
      <c r="H1263" s="2213">
        <v>1</v>
      </c>
      <c r="L1263" s="2210"/>
      <c r="M1263" s="2214"/>
      <c r="T1263" s="2215"/>
      <c r="AT1263" s="2211" t="s">
        <v>3303</v>
      </c>
      <c r="AU1263" s="2211" t="s">
        <v>134</v>
      </c>
      <c r="AV1263" s="2209" t="s">
        <v>134</v>
      </c>
      <c r="AW1263" s="2209" t="s">
        <v>3171</v>
      </c>
      <c r="AX1263" s="2209" t="s">
        <v>3213</v>
      </c>
      <c r="AY1263" s="2211" t="s">
        <v>3285</v>
      </c>
    </row>
    <row r="1264" spans="2:65" s="2209" customFormat="1">
      <c r="B1264" s="2210"/>
      <c r="D1264" s="2197" t="s">
        <v>3303</v>
      </c>
      <c r="E1264" s="2211" t="s">
        <v>3146</v>
      </c>
      <c r="F1264" s="2212" t="s">
        <v>11356</v>
      </c>
      <c r="H1264" s="2213">
        <v>1</v>
      </c>
      <c r="L1264" s="2210"/>
      <c r="M1264" s="2214"/>
      <c r="T1264" s="2215"/>
      <c r="AT1264" s="2211" t="s">
        <v>3303</v>
      </c>
      <c r="AU1264" s="2211" t="s">
        <v>134</v>
      </c>
      <c r="AV1264" s="2209" t="s">
        <v>134</v>
      </c>
      <c r="AW1264" s="2209" t="s">
        <v>3171</v>
      </c>
      <c r="AX1264" s="2209" t="s">
        <v>3213</v>
      </c>
      <c r="AY1264" s="2211" t="s">
        <v>3285</v>
      </c>
    </row>
    <row r="1265" spans="2:65" s="2216" customFormat="1">
      <c r="B1265" s="2217"/>
      <c r="D1265" s="2197" t="s">
        <v>3303</v>
      </c>
      <c r="E1265" s="2218" t="s">
        <v>3146</v>
      </c>
      <c r="F1265" s="2219" t="s">
        <v>3306</v>
      </c>
      <c r="H1265" s="2220">
        <v>2</v>
      </c>
      <c r="L1265" s="2217"/>
      <c r="M1265" s="2221"/>
      <c r="T1265" s="2222"/>
      <c r="AT1265" s="2218" t="s">
        <v>3303</v>
      </c>
      <c r="AU1265" s="2218" t="s">
        <v>134</v>
      </c>
      <c r="AV1265" s="2216" t="s">
        <v>856</v>
      </c>
      <c r="AW1265" s="2216" t="s">
        <v>3171</v>
      </c>
      <c r="AX1265" s="2216" t="s">
        <v>133</v>
      </c>
      <c r="AY1265" s="2218" t="s">
        <v>3285</v>
      </c>
    </row>
    <row r="1266" spans="2:65" s="2070" customFormat="1" ht="24.2" customHeight="1">
      <c r="B1266" s="2164"/>
      <c r="C1266" s="5561" t="s">
        <v>5072</v>
      </c>
      <c r="D1266" s="4608" t="s">
        <v>3286</v>
      </c>
      <c r="E1266" s="4609" t="s">
        <v>5520</v>
      </c>
      <c r="F1266" s="4610" t="s">
        <v>5521</v>
      </c>
      <c r="G1266" s="4611" t="s">
        <v>155</v>
      </c>
      <c r="H1266" s="5568">
        <f>H1295</f>
        <v>14</v>
      </c>
      <c r="I1266" s="5876" t="s">
        <v>11555</v>
      </c>
      <c r="J1266" s="5877"/>
      <c r="K1266" s="4610" t="s">
        <v>142</v>
      </c>
      <c r="L1266" s="2071"/>
      <c r="M1266" s="2190" t="s">
        <v>3146</v>
      </c>
      <c r="N1266" s="2163" t="s">
        <v>3181</v>
      </c>
      <c r="O1266" s="2191">
        <v>17.46</v>
      </c>
      <c r="P1266" s="2191">
        <f>O1266*H1266</f>
        <v>244.44</v>
      </c>
      <c r="Q1266" s="2191">
        <v>0</v>
      </c>
      <c r="R1266" s="2191">
        <f>Q1266*H1266</f>
        <v>0</v>
      </c>
      <c r="S1266" s="2191">
        <v>0</v>
      </c>
      <c r="T1266" s="2192">
        <f>S1266*H1266</f>
        <v>0</v>
      </c>
      <c r="AR1266" s="2193" t="s">
        <v>2894</v>
      </c>
      <c r="AT1266" s="2193" t="s">
        <v>3286</v>
      </c>
      <c r="AU1266" s="2193" t="s">
        <v>134</v>
      </c>
      <c r="AY1266" s="2056" t="s">
        <v>3285</v>
      </c>
      <c r="BE1266" s="2194">
        <f>IF(N1266="základní",J1266,0)</f>
        <v>0</v>
      </c>
      <c r="BF1266" s="2194">
        <f>IF(N1266="snížená",J1266,0)</f>
        <v>0</v>
      </c>
      <c r="BG1266" s="2194">
        <f>IF(N1266="zákl. přenesená",J1266,0)</f>
        <v>0</v>
      </c>
      <c r="BH1266" s="2194">
        <f>IF(N1266="sníž. přenesená",J1266,0)</f>
        <v>0</v>
      </c>
      <c r="BI1266" s="2194">
        <f>IF(N1266="nulová",J1266,0)</f>
        <v>0</v>
      </c>
      <c r="BJ1266" s="2056" t="s">
        <v>134</v>
      </c>
      <c r="BK1266" s="2194">
        <v>0</v>
      </c>
      <c r="BL1266" s="2056" t="s">
        <v>2894</v>
      </c>
      <c r="BM1266" s="2193" t="s">
        <v>5522</v>
      </c>
    </row>
    <row r="1267" spans="2:65" s="2195" customFormat="1">
      <c r="B1267" s="2196"/>
      <c r="D1267" s="2197" t="s">
        <v>3303</v>
      </c>
      <c r="E1267" s="2198" t="s">
        <v>3146</v>
      </c>
      <c r="F1267" s="2199" t="s">
        <v>5523</v>
      </c>
      <c r="H1267" s="2198" t="s">
        <v>3146</v>
      </c>
      <c r="L1267" s="2196"/>
      <c r="M1267" s="2200"/>
      <c r="T1267" s="2201"/>
      <c r="AT1267" s="2198" t="s">
        <v>3303</v>
      </c>
      <c r="AU1267" s="2198" t="s">
        <v>134</v>
      </c>
      <c r="AV1267" s="2195" t="s">
        <v>133</v>
      </c>
      <c r="AW1267" s="2195" t="s">
        <v>3171</v>
      </c>
      <c r="AX1267" s="2195" t="s">
        <v>3213</v>
      </c>
      <c r="AY1267" s="2198" t="s">
        <v>3285</v>
      </c>
    </row>
    <row r="1268" spans="2:65"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65" s="2195" customFormat="1">
      <c r="B1269" s="2196"/>
      <c r="D1269" s="2197" t="s">
        <v>3303</v>
      </c>
      <c r="E1269" s="2198" t="s">
        <v>3146</v>
      </c>
      <c r="F1269" s="2199" t="s">
        <v>5524</v>
      </c>
      <c r="H1269" s="2198" t="s">
        <v>3146</v>
      </c>
      <c r="L1269" s="2196"/>
      <c r="M1269" s="2200"/>
      <c r="T1269" s="2201"/>
      <c r="AT1269" s="2198" t="s">
        <v>3303</v>
      </c>
      <c r="AU1269" s="2198" t="s">
        <v>134</v>
      </c>
      <c r="AV1269" s="2195" t="s">
        <v>133</v>
      </c>
      <c r="AW1269" s="2195" t="s">
        <v>3171</v>
      </c>
      <c r="AX1269" s="2195" t="s">
        <v>3213</v>
      </c>
      <c r="AY1269" s="2198" t="s">
        <v>3285</v>
      </c>
    </row>
    <row r="1270" spans="2:65"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65" s="2195" customFormat="1">
      <c r="B1271" s="2196"/>
      <c r="D1271" s="2197" t="s">
        <v>3303</v>
      </c>
      <c r="E1271" s="2198" t="s">
        <v>3146</v>
      </c>
      <c r="F1271" s="2199" t="s">
        <v>5525</v>
      </c>
      <c r="H1271" s="2198" t="s">
        <v>3146</v>
      </c>
      <c r="L1271" s="2196"/>
      <c r="M1271" s="2200"/>
      <c r="T1271" s="2201"/>
      <c r="AT1271" s="2198" t="s">
        <v>3303</v>
      </c>
      <c r="AU1271" s="2198" t="s">
        <v>134</v>
      </c>
      <c r="AV1271" s="2195" t="s">
        <v>133</v>
      </c>
      <c r="AW1271" s="2195" t="s">
        <v>3171</v>
      </c>
      <c r="AX1271" s="2195" t="s">
        <v>3213</v>
      </c>
      <c r="AY1271" s="2198" t="s">
        <v>3285</v>
      </c>
    </row>
    <row r="1272" spans="2:65"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65" s="2195" customFormat="1">
      <c r="B1273" s="2196"/>
      <c r="D1273" s="2197" t="s">
        <v>3303</v>
      </c>
      <c r="E1273" s="2198" t="s">
        <v>3146</v>
      </c>
      <c r="F1273" s="2199" t="s">
        <v>5526</v>
      </c>
      <c r="H1273" s="2198" t="s">
        <v>3146</v>
      </c>
      <c r="L1273" s="2196"/>
      <c r="M1273" s="2200"/>
      <c r="T1273" s="2201"/>
      <c r="AT1273" s="2198" t="s">
        <v>3303</v>
      </c>
      <c r="AU1273" s="2198" t="s">
        <v>134</v>
      </c>
      <c r="AV1273" s="2195" t="s">
        <v>133</v>
      </c>
      <c r="AW1273" s="2195" t="s">
        <v>3171</v>
      </c>
      <c r="AX1273" s="2195" t="s">
        <v>3213</v>
      </c>
      <c r="AY1273" s="2198" t="s">
        <v>3285</v>
      </c>
    </row>
    <row r="1274" spans="2:65"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65" s="2195" customFormat="1">
      <c r="B1275" s="2196"/>
      <c r="D1275" s="2197" t="s">
        <v>3303</v>
      </c>
      <c r="E1275" s="2198" t="s">
        <v>3146</v>
      </c>
      <c r="F1275" s="2199" t="s">
        <v>5527</v>
      </c>
      <c r="H1275" s="2198" t="s">
        <v>3146</v>
      </c>
      <c r="L1275" s="2196"/>
      <c r="M1275" s="2200"/>
      <c r="T1275" s="2201"/>
      <c r="AT1275" s="2198" t="s">
        <v>3303</v>
      </c>
      <c r="AU1275" s="2198" t="s">
        <v>134</v>
      </c>
      <c r="AV1275" s="2195" t="s">
        <v>133</v>
      </c>
      <c r="AW1275" s="2195" t="s">
        <v>3171</v>
      </c>
      <c r="AX1275" s="2195" t="s">
        <v>3213</v>
      </c>
      <c r="AY1275" s="2198" t="s">
        <v>3285</v>
      </c>
    </row>
    <row r="1276" spans="2:65"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65" s="2195" customFormat="1">
      <c r="B1277" s="2196"/>
      <c r="D1277" s="2197" t="s">
        <v>3303</v>
      </c>
      <c r="E1277" s="2198" t="s">
        <v>3146</v>
      </c>
      <c r="F1277" s="2199" t="s">
        <v>5528</v>
      </c>
      <c r="H1277" s="2198" t="s">
        <v>3146</v>
      </c>
      <c r="L1277" s="2196"/>
      <c r="M1277" s="2200"/>
      <c r="T1277" s="2201"/>
      <c r="AT1277" s="2198" t="s">
        <v>3303</v>
      </c>
      <c r="AU1277" s="2198" t="s">
        <v>134</v>
      </c>
      <c r="AV1277" s="2195" t="s">
        <v>133</v>
      </c>
      <c r="AW1277" s="2195" t="s">
        <v>3171</v>
      </c>
      <c r="AX1277" s="2195" t="s">
        <v>3213</v>
      </c>
      <c r="AY1277" s="2198" t="s">
        <v>3285</v>
      </c>
    </row>
    <row r="1278" spans="2:65"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65" s="2195" customFormat="1">
      <c r="B1279" s="2196"/>
      <c r="D1279" s="2197" t="s">
        <v>3303</v>
      </c>
      <c r="E1279" s="2198" t="s">
        <v>3146</v>
      </c>
      <c r="F1279" s="2199" t="s">
        <v>5529</v>
      </c>
      <c r="H1279" s="2198" t="s">
        <v>3146</v>
      </c>
      <c r="L1279" s="2196"/>
      <c r="M1279" s="2200"/>
      <c r="T1279" s="2201"/>
      <c r="AT1279" s="2198" t="s">
        <v>3303</v>
      </c>
      <c r="AU1279" s="2198" t="s">
        <v>134</v>
      </c>
      <c r="AV1279" s="2195" t="s">
        <v>133</v>
      </c>
      <c r="AW1279" s="2195" t="s">
        <v>3171</v>
      </c>
      <c r="AX1279" s="2195" t="s">
        <v>3213</v>
      </c>
      <c r="AY1279" s="2198" t="s">
        <v>3285</v>
      </c>
    </row>
    <row r="1280" spans="2:65"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5530</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5531</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5532</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195" customFormat="1">
      <c r="B1287" s="2196"/>
      <c r="D1287" s="2197" t="s">
        <v>3303</v>
      </c>
      <c r="E1287" s="2198" t="s">
        <v>3146</v>
      </c>
      <c r="F1287" s="2199" t="s">
        <v>5533</v>
      </c>
      <c r="H1287" s="2198" t="s">
        <v>3146</v>
      </c>
      <c r="L1287" s="2196"/>
      <c r="M1287" s="2200"/>
      <c r="T1287" s="2201"/>
      <c r="AT1287" s="2198" t="s">
        <v>3303</v>
      </c>
      <c r="AU1287" s="2198" t="s">
        <v>134</v>
      </c>
      <c r="AV1287" s="2195" t="s">
        <v>133</v>
      </c>
      <c r="AW1287" s="2195" t="s">
        <v>3171</v>
      </c>
      <c r="AX1287" s="2195" t="s">
        <v>3213</v>
      </c>
      <c r="AY1287" s="2198" t="s">
        <v>3285</v>
      </c>
    </row>
    <row r="1288" spans="2:65" s="2209" customFormat="1">
      <c r="B1288" s="2210"/>
      <c r="D1288" s="2197" t="s">
        <v>3303</v>
      </c>
      <c r="E1288" s="2211" t="s">
        <v>3146</v>
      </c>
      <c r="F1288" s="2212" t="s">
        <v>133</v>
      </c>
      <c r="H1288" s="2213">
        <v>1</v>
      </c>
      <c r="L1288" s="2210"/>
      <c r="M1288" s="2214"/>
      <c r="T1288" s="2215"/>
      <c r="AT1288" s="2211" t="s">
        <v>3303</v>
      </c>
      <c r="AU1288" s="2211" t="s">
        <v>134</v>
      </c>
      <c r="AV1288" s="2209" t="s">
        <v>134</v>
      </c>
      <c r="AW1288" s="2209" t="s">
        <v>3171</v>
      </c>
      <c r="AX1288" s="2209" t="s">
        <v>3213</v>
      </c>
      <c r="AY1288" s="2211" t="s">
        <v>3285</v>
      </c>
    </row>
    <row r="1289" spans="2:65" s="2195" customFormat="1">
      <c r="B1289" s="2196"/>
      <c r="D1289" s="2197" t="s">
        <v>3303</v>
      </c>
      <c r="E1289" s="2198" t="s">
        <v>3146</v>
      </c>
      <c r="F1289" s="2199" t="s">
        <v>5534</v>
      </c>
      <c r="H1289" s="2198" t="s">
        <v>3146</v>
      </c>
      <c r="L1289" s="2196"/>
      <c r="M1289" s="2200"/>
      <c r="T1289" s="2201"/>
      <c r="AT1289" s="2198" t="s">
        <v>3303</v>
      </c>
      <c r="AU1289" s="2198" t="s">
        <v>134</v>
      </c>
      <c r="AV1289" s="2195" t="s">
        <v>133</v>
      </c>
      <c r="AW1289" s="2195" t="s">
        <v>3171</v>
      </c>
      <c r="AX1289" s="2195" t="s">
        <v>3213</v>
      </c>
      <c r="AY1289" s="2198" t="s">
        <v>3285</v>
      </c>
    </row>
    <row r="1290" spans="2:65" s="2209" customFormat="1">
      <c r="B1290" s="2210"/>
      <c r="D1290" s="2197" t="s">
        <v>3303</v>
      </c>
      <c r="E1290" s="2211" t="s">
        <v>3146</v>
      </c>
      <c r="F1290" s="2212" t="s">
        <v>133</v>
      </c>
      <c r="H1290" s="2213">
        <v>1</v>
      </c>
      <c r="L1290" s="2210"/>
      <c r="M1290" s="2214"/>
      <c r="T1290" s="2215"/>
      <c r="AT1290" s="2211" t="s">
        <v>3303</v>
      </c>
      <c r="AU1290" s="2211" t="s">
        <v>134</v>
      </c>
      <c r="AV1290" s="2209" t="s">
        <v>134</v>
      </c>
      <c r="AW1290" s="2209" t="s">
        <v>3171</v>
      </c>
      <c r="AX1290" s="2209" t="s">
        <v>3213</v>
      </c>
      <c r="AY1290" s="2211" t="s">
        <v>3285</v>
      </c>
    </row>
    <row r="1291" spans="2:65" s="2195" customFormat="1">
      <c r="B1291" s="2196"/>
      <c r="D1291" s="2197" t="s">
        <v>3303</v>
      </c>
      <c r="E1291" s="2198" t="s">
        <v>3146</v>
      </c>
      <c r="F1291" s="5560" t="s">
        <v>5556</v>
      </c>
      <c r="G1291" s="5574"/>
      <c r="H1291" s="560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5560" t="s">
        <v>133</v>
      </c>
      <c r="G1292" s="5574"/>
      <c r="H1292" s="5569">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5560" t="s">
        <v>5557</v>
      </c>
      <c r="G1293" s="5574"/>
      <c r="H1293" s="560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5560" t="s">
        <v>133</v>
      </c>
      <c r="G1294" s="5574"/>
      <c r="H1294" s="5569">
        <v>1</v>
      </c>
      <c r="L1294" s="5647"/>
      <c r="M1294" s="2214"/>
      <c r="T1294" s="2215"/>
      <c r="AT1294" s="2211" t="s">
        <v>3303</v>
      </c>
      <c r="AU1294" s="2211" t="s">
        <v>134</v>
      </c>
      <c r="AV1294" s="2209" t="s">
        <v>134</v>
      </c>
      <c r="AW1294" s="2209" t="s">
        <v>3171</v>
      </c>
      <c r="AX1294" s="2209" t="s">
        <v>3213</v>
      </c>
      <c r="AY1294" s="2211" t="s">
        <v>3285</v>
      </c>
    </row>
    <row r="1295" spans="2:65" s="2216" customFormat="1">
      <c r="B1295" s="2217"/>
      <c r="D1295" s="2197" t="s">
        <v>3303</v>
      </c>
      <c r="E1295" s="2218" t="s">
        <v>3146</v>
      </c>
      <c r="F1295" s="2219" t="s">
        <v>3306</v>
      </c>
      <c r="H1295" s="5569">
        <f>SUM(H1268:H1294)</f>
        <v>14</v>
      </c>
      <c r="L1295" s="2217"/>
      <c r="M1295" s="2221"/>
      <c r="T1295" s="2222"/>
      <c r="AT1295" s="2218" t="s">
        <v>3303</v>
      </c>
      <c r="AU1295" s="2218" t="s">
        <v>134</v>
      </c>
      <c r="AV1295" s="2216" t="s">
        <v>856</v>
      </c>
      <c r="AW1295" s="2216" t="s">
        <v>3171</v>
      </c>
      <c r="AX1295" s="2216" t="s">
        <v>133</v>
      </c>
      <c r="AY1295" s="2218" t="s">
        <v>3285</v>
      </c>
    </row>
    <row r="1296" spans="2:65" s="2070" customFormat="1" ht="38.1" customHeight="1">
      <c r="B1296" s="2164"/>
      <c r="C1296" s="5609" t="s">
        <v>5073</v>
      </c>
      <c r="D1296" s="4614" t="s">
        <v>135</v>
      </c>
      <c r="E1296" s="4615" t="s">
        <v>5535</v>
      </c>
      <c r="F1296" s="4616" t="s">
        <v>11744</v>
      </c>
      <c r="G1296" s="4617" t="s">
        <v>155</v>
      </c>
      <c r="H1296" s="5610">
        <f>H1266</f>
        <v>14</v>
      </c>
      <c r="I1296" s="5876" t="s">
        <v>11555</v>
      </c>
      <c r="J1296" s="5877"/>
      <c r="K1296" s="4616" t="s">
        <v>142</v>
      </c>
      <c r="L1296" s="2223"/>
      <c r="M1296" s="2224" t="s">
        <v>3146</v>
      </c>
      <c r="N1296" s="2225" t="s">
        <v>3181</v>
      </c>
      <c r="O1296" s="2191">
        <v>0</v>
      </c>
      <c r="P1296" s="2191">
        <f>O1296*H1296</f>
        <v>0</v>
      </c>
      <c r="Q1296" s="2191">
        <v>0.12</v>
      </c>
      <c r="R1296" s="2191">
        <f>Q1296*H1296</f>
        <v>1.68</v>
      </c>
      <c r="S1296" s="2191">
        <v>0</v>
      </c>
      <c r="T1296" s="2192">
        <f>S1296*H1296</f>
        <v>0</v>
      </c>
      <c r="AR1296" s="2193" t="s">
        <v>3389</v>
      </c>
      <c r="AT1296" s="2193" t="s">
        <v>135</v>
      </c>
      <c r="AU1296" s="2193" t="s">
        <v>134</v>
      </c>
      <c r="AY1296" s="2056" t="s">
        <v>3285</v>
      </c>
      <c r="BE1296" s="2194">
        <f>IF(N1296="základní",J1296,0)</f>
        <v>0</v>
      </c>
      <c r="BF1296" s="2194">
        <f>IF(N1296="snížená",J1296,0)</f>
        <v>0</v>
      </c>
      <c r="BG1296" s="2194">
        <f>IF(N1296="zákl. přenesená",J1296,0)</f>
        <v>0</v>
      </c>
      <c r="BH1296" s="2194">
        <f>IF(N1296="sníž. přenesená",J1296,0)</f>
        <v>0</v>
      </c>
      <c r="BI1296" s="2194">
        <f>IF(N1296="nulová",J1296,0)</f>
        <v>0</v>
      </c>
      <c r="BJ1296" s="2056" t="s">
        <v>134</v>
      </c>
      <c r="BK1296" s="2194">
        <v>0</v>
      </c>
      <c r="BL1296" s="2056" t="s">
        <v>2894</v>
      </c>
      <c r="BM1296" s="2193" t="s">
        <v>5537</v>
      </c>
    </row>
    <row r="1297" spans="2:65" s="2070" customFormat="1" ht="24.2" customHeight="1">
      <c r="B1297" s="2164"/>
      <c r="C1297" s="5609" t="s">
        <v>5074</v>
      </c>
      <c r="D1297" s="4614" t="s">
        <v>135</v>
      </c>
      <c r="E1297" s="4615" t="s">
        <v>5538</v>
      </c>
      <c r="F1297" s="4616" t="s">
        <v>5539</v>
      </c>
      <c r="G1297" s="4617" t="s">
        <v>155</v>
      </c>
      <c r="H1297" s="5610">
        <f>H1266</f>
        <v>14</v>
      </c>
      <c r="I1297" s="5876" t="s">
        <v>11555</v>
      </c>
      <c r="J1297" s="5877"/>
      <c r="K1297" s="4616" t="s">
        <v>3146</v>
      </c>
      <c r="L1297" s="2223"/>
      <c r="M1297" s="2224" t="s">
        <v>3146</v>
      </c>
      <c r="N1297" s="2225" t="s">
        <v>3181</v>
      </c>
      <c r="O1297" s="2191">
        <v>0</v>
      </c>
      <c r="P1297" s="2191">
        <f>O1297*H1297</f>
        <v>0</v>
      </c>
      <c r="Q1297" s="2191">
        <v>0</v>
      </c>
      <c r="R1297" s="2191">
        <f>Q1297*H1297</f>
        <v>0</v>
      </c>
      <c r="S1297" s="2191">
        <v>0</v>
      </c>
      <c r="T1297" s="2192">
        <f>S1297*H1297</f>
        <v>0</v>
      </c>
      <c r="AR1297" s="2193" t="s">
        <v>3389</v>
      </c>
      <c r="AT1297" s="2193" t="s">
        <v>135</v>
      </c>
      <c r="AU1297" s="2193" t="s">
        <v>134</v>
      </c>
      <c r="AY1297" s="2056" t="s">
        <v>3285</v>
      </c>
      <c r="BE1297" s="2194">
        <f>IF(N1297="základní",J1297,0)</f>
        <v>0</v>
      </c>
      <c r="BF1297" s="2194">
        <f>IF(N1297="snížená",J1297,0)</f>
        <v>0</v>
      </c>
      <c r="BG1297" s="2194">
        <f>IF(N1297="zákl. přenesená",J1297,0)</f>
        <v>0</v>
      </c>
      <c r="BH1297" s="2194">
        <f>IF(N1297="sníž. přenesená",J1297,0)</f>
        <v>0</v>
      </c>
      <c r="BI1297" s="2194">
        <f>IF(N1297="nulová",J1297,0)</f>
        <v>0</v>
      </c>
      <c r="BJ1297" s="2056" t="s">
        <v>134</v>
      </c>
      <c r="BK1297" s="2194">
        <v>0</v>
      </c>
      <c r="BL1297" s="2056" t="s">
        <v>2894</v>
      </c>
      <c r="BM1297" s="2193" t="s">
        <v>5540</v>
      </c>
    </row>
    <row r="1298" spans="2:65" s="2070" customFormat="1" ht="24.2" customHeight="1">
      <c r="B1298" s="2164"/>
      <c r="C1298" s="5561" t="s">
        <v>11357</v>
      </c>
      <c r="D1298" s="4608" t="s">
        <v>3286</v>
      </c>
      <c r="E1298" s="4609" t="s">
        <v>5541</v>
      </c>
      <c r="F1298" s="4610" t="s">
        <v>5542</v>
      </c>
      <c r="G1298" s="4611" t="s">
        <v>155</v>
      </c>
      <c r="H1298" s="4612">
        <v>3</v>
      </c>
      <c r="I1298" s="5876" t="s">
        <v>11555</v>
      </c>
      <c r="J1298" s="5877"/>
      <c r="K1298" s="4610" t="s">
        <v>142</v>
      </c>
      <c r="L1298" s="2071"/>
      <c r="M1298" s="2190" t="s">
        <v>3146</v>
      </c>
      <c r="N1298" s="2163" t="s">
        <v>3181</v>
      </c>
      <c r="O1298" s="2191">
        <v>20.58</v>
      </c>
      <c r="P1298" s="2191">
        <f>O1298*H1298</f>
        <v>61.739999999999995</v>
      </c>
      <c r="Q1298" s="2191">
        <v>0</v>
      </c>
      <c r="R1298" s="2191">
        <f>Q1298*H1298</f>
        <v>0</v>
      </c>
      <c r="S1298" s="2191">
        <v>0</v>
      </c>
      <c r="T1298" s="2192">
        <f>S1298*H1298</f>
        <v>0</v>
      </c>
      <c r="AR1298" s="2193" t="s">
        <v>2894</v>
      </c>
      <c r="AT1298" s="2193" t="s">
        <v>3286</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v>0</v>
      </c>
      <c r="BL1298" s="2056" t="s">
        <v>2894</v>
      </c>
      <c r="BM1298" s="2193" t="s">
        <v>5543</v>
      </c>
    </row>
    <row r="1299" spans="2:65" s="2195" customFormat="1">
      <c r="B1299" s="2196"/>
      <c r="D1299" s="2197" t="s">
        <v>3303</v>
      </c>
      <c r="E1299" s="2198" t="s">
        <v>3146</v>
      </c>
      <c r="F1299" s="2199" t="s">
        <v>5544</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5545</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5546</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37.9" customHeight="1">
      <c r="B1306" s="2164"/>
      <c r="C1306" s="5609" t="s">
        <v>11358</v>
      </c>
      <c r="D1306" s="4614" t="s">
        <v>135</v>
      </c>
      <c r="E1306" s="4615" t="s">
        <v>5547</v>
      </c>
      <c r="F1306" s="4616" t="s">
        <v>5548</v>
      </c>
      <c r="G1306" s="4617" t="s">
        <v>155</v>
      </c>
      <c r="H1306" s="4618">
        <v>3</v>
      </c>
      <c r="I1306" s="5876" t="s">
        <v>11555</v>
      </c>
      <c r="J1306" s="5877"/>
      <c r="K1306" s="4616" t="s">
        <v>142</v>
      </c>
      <c r="L1306" s="2223"/>
      <c r="M1306" s="2224" t="s">
        <v>3146</v>
      </c>
      <c r="N1306" s="2225" t="s">
        <v>3181</v>
      </c>
      <c r="O1306" s="2191">
        <v>0</v>
      </c>
      <c r="P1306" s="2191">
        <f>O1306*H1306</f>
        <v>0</v>
      </c>
      <c r="Q1306" s="2191">
        <v>0.11</v>
      </c>
      <c r="R1306" s="2191">
        <f>Q1306*H1306</f>
        <v>0.33</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v>0</v>
      </c>
      <c r="BL1306" s="2056" t="s">
        <v>2894</v>
      </c>
      <c r="BM1306" s="2193" t="s">
        <v>5549</v>
      </c>
    </row>
    <row r="1307" spans="2:65" s="2195" customFormat="1">
      <c r="B1307" s="2196"/>
      <c r="D1307" s="2197" t="s">
        <v>3303</v>
      </c>
      <c r="E1307" s="2198" t="s">
        <v>3146</v>
      </c>
      <c r="F1307" s="2199" t="s">
        <v>5544</v>
      </c>
      <c r="H1307" s="2198" t="s">
        <v>3146</v>
      </c>
      <c r="L1307" s="2196"/>
      <c r="M1307" s="2200"/>
      <c r="T1307" s="2201"/>
      <c r="AT1307" s="2198" t="s">
        <v>3303</v>
      </c>
      <c r="AU1307" s="2198" t="s">
        <v>134</v>
      </c>
      <c r="AV1307" s="2195" t="s">
        <v>133</v>
      </c>
      <c r="AW1307" s="2195" t="s">
        <v>3171</v>
      </c>
      <c r="AX1307" s="2195" t="s">
        <v>3213</v>
      </c>
      <c r="AY1307" s="2198" t="s">
        <v>3285</v>
      </c>
    </row>
    <row r="1308" spans="2:65" s="2209" customFormat="1">
      <c r="B1308" s="2210"/>
      <c r="D1308" s="2197" t="s">
        <v>3303</v>
      </c>
      <c r="E1308" s="2211" t="s">
        <v>3146</v>
      </c>
      <c r="F1308" s="2212" t="s">
        <v>133</v>
      </c>
      <c r="H1308" s="2213">
        <v>1</v>
      </c>
      <c r="L1308" s="2210"/>
      <c r="M1308" s="2214"/>
      <c r="T1308" s="2215"/>
      <c r="AT1308" s="2211" t="s">
        <v>3303</v>
      </c>
      <c r="AU1308" s="2211" t="s">
        <v>134</v>
      </c>
      <c r="AV1308" s="2209" t="s">
        <v>134</v>
      </c>
      <c r="AW1308" s="2209" t="s">
        <v>3171</v>
      </c>
      <c r="AX1308" s="2209" t="s">
        <v>3213</v>
      </c>
      <c r="AY1308" s="2211" t="s">
        <v>3285</v>
      </c>
    </row>
    <row r="1309" spans="2:65" s="2195" customFormat="1">
      <c r="B1309" s="2196"/>
      <c r="D1309" s="2197" t="s">
        <v>3303</v>
      </c>
      <c r="E1309" s="2198" t="s">
        <v>3146</v>
      </c>
      <c r="F1309" s="2199" t="s">
        <v>5545</v>
      </c>
      <c r="H1309" s="2198" t="s">
        <v>3146</v>
      </c>
      <c r="L1309" s="2196"/>
      <c r="M1309" s="2200"/>
      <c r="T1309" s="2201"/>
      <c r="AT1309" s="2198" t="s">
        <v>3303</v>
      </c>
      <c r="AU1309" s="2198" t="s">
        <v>134</v>
      </c>
      <c r="AV1309" s="2195" t="s">
        <v>133</v>
      </c>
      <c r="AW1309" s="2195" t="s">
        <v>3171</v>
      </c>
      <c r="AX1309" s="2195" t="s">
        <v>3213</v>
      </c>
      <c r="AY1309" s="2198" t="s">
        <v>3285</v>
      </c>
    </row>
    <row r="1310" spans="2:65" s="2209" customFormat="1">
      <c r="B1310" s="2210"/>
      <c r="D1310" s="2197" t="s">
        <v>3303</v>
      </c>
      <c r="E1310" s="2211" t="s">
        <v>3146</v>
      </c>
      <c r="F1310" s="2212" t="s">
        <v>133</v>
      </c>
      <c r="H1310" s="2213">
        <v>1</v>
      </c>
      <c r="L1310" s="2210"/>
      <c r="M1310" s="2214"/>
      <c r="T1310" s="2215"/>
      <c r="AT1310" s="2211" t="s">
        <v>3303</v>
      </c>
      <c r="AU1310" s="2211" t="s">
        <v>134</v>
      </c>
      <c r="AV1310" s="2209" t="s">
        <v>134</v>
      </c>
      <c r="AW1310" s="2209" t="s">
        <v>3171</v>
      </c>
      <c r="AX1310" s="2209" t="s">
        <v>3213</v>
      </c>
      <c r="AY1310" s="2211" t="s">
        <v>3285</v>
      </c>
    </row>
    <row r="1311" spans="2:65" s="2195" customFormat="1">
      <c r="B1311" s="2196"/>
      <c r="D1311" s="2197" t="s">
        <v>3303</v>
      </c>
      <c r="E1311" s="2198" t="s">
        <v>3146</v>
      </c>
      <c r="F1311" s="2199" t="s">
        <v>5546</v>
      </c>
      <c r="H1311" s="2198" t="s">
        <v>3146</v>
      </c>
      <c r="L1311" s="2196"/>
      <c r="M1311" s="2200"/>
      <c r="T1311" s="2201"/>
      <c r="AT1311" s="2198" t="s">
        <v>3303</v>
      </c>
      <c r="AU1311" s="2198" t="s">
        <v>134</v>
      </c>
      <c r="AV1311" s="2195" t="s">
        <v>133</v>
      </c>
      <c r="AW1311" s="2195" t="s">
        <v>3171</v>
      </c>
      <c r="AX1311" s="2195" t="s">
        <v>3213</v>
      </c>
      <c r="AY1311" s="2198" t="s">
        <v>3285</v>
      </c>
    </row>
    <row r="1312" spans="2:65" s="2209" customFormat="1">
      <c r="B1312" s="2210"/>
      <c r="D1312" s="2197" t="s">
        <v>3303</v>
      </c>
      <c r="E1312" s="2211" t="s">
        <v>3146</v>
      </c>
      <c r="F1312" s="2212" t="s">
        <v>133</v>
      </c>
      <c r="H1312" s="2213">
        <v>1</v>
      </c>
      <c r="L1312" s="2210"/>
      <c r="M1312" s="2214"/>
      <c r="T1312" s="2215"/>
      <c r="AT1312" s="2211" t="s">
        <v>3303</v>
      </c>
      <c r="AU1312" s="2211" t="s">
        <v>134</v>
      </c>
      <c r="AV1312" s="2209" t="s">
        <v>134</v>
      </c>
      <c r="AW1312" s="2209" t="s">
        <v>3171</v>
      </c>
      <c r="AX1312" s="2209" t="s">
        <v>3213</v>
      </c>
      <c r="AY1312" s="2211" t="s">
        <v>3285</v>
      </c>
    </row>
    <row r="1313" spans="2:65" s="2216" customFormat="1">
      <c r="B1313" s="2217"/>
      <c r="D1313" s="2197" t="s">
        <v>3303</v>
      </c>
      <c r="E1313" s="2218" t="s">
        <v>3146</v>
      </c>
      <c r="F1313" s="2219" t="s">
        <v>3306</v>
      </c>
      <c r="H1313" s="2220">
        <v>3</v>
      </c>
      <c r="L1313" s="2217"/>
      <c r="M1313" s="2221"/>
      <c r="T1313" s="2222"/>
      <c r="AT1313" s="2218" t="s">
        <v>3303</v>
      </c>
      <c r="AU1313" s="2218" t="s">
        <v>134</v>
      </c>
      <c r="AV1313" s="2216" t="s">
        <v>856</v>
      </c>
      <c r="AW1313" s="2216" t="s">
        <v>3171</v>
      </c>
      <c r="AX1313" s="2216" t="s">
        <v>133</v>
      </c>
      <c r="AY1313" s="2218" t="s">
        <v>3285</v>
      </c>
    </row>
    <row r="1314" spans="2:65" s="2070" customFormat="1" ht="24.2" customHeight="1">
      <c r="B1314" s="2164"/>
      <c r="C1314" s="5609" t="s">
        <v>11359</v>
      </c>
      <c r="D1314" s="4614" t="s">
        <v>135</v>
      </c>
      <c r="E1314" s="4615" t="s">
        <v>5550</v>
      </c>
      <c r="F1314" s="4616" t="s">
        <v>5551</v>
      </c>
      <c r="G1314" s="4617" t="s">
        <v>155</v>
      </c>
      <c r="H1314" s="4618">
        <v>3</v>
      </c>
      <c r="I1314" s="5876" t="s">
        <v>11555</v>
      </c>
      <c r="J1314" s="5877"/>
      <c r="K1314" s="4616" t="s">
        <v>3146</v>
      </c>
      <c r="L1314" s="2223"/>
      <c r="M1314" s="2224" t="s">
        <v>3146</v>
      </c>
      <c r="N1314" s="2225" t="s">
        <v>3181</v>
      </c>
      <c r="O1314" s="2191">
        <v>0</v>
      </c>
      <c r="P1314" s="2191">
        <f>O1314*H1314</f>
        <v>0</v>
      </c>
      <c r="Q1314" s="2191">
        <v>0</v>
      </c>
      <c r="R1314" s="2191">
        <f>Q1314*H1314</f>
        <v>0</v>
      </c>
      <c r="S1314" s="2191">
        <v>0</v>
      </c>
      <c r="T1314" s="2192">
        <f>S1314*H1314</f>
        <v>0</v>
      </c>
      <c r="AR1314" s="2193" t="s">
        <v>3389</v>
      </c>
      <c r="AT1314" s="2193" t="s">
        <v>135</v>
      </c>
      <c r="AU1314" s="2193" t="s">
        <v>134</v>
      </c>
      <c r="AY1314" s="2056" t="s">
        <v>3285</v>
      </c>
      <c r="BE1314" s="2194">
        <f>IF(N1314="základní",J1314,0)</f>
        <v>0</v>
      </c>
      <c r="BF1314" s="2194">
        <f>IF(N1314="snížená",J1314,0)</f>
        <v>0</v>
      </c>
      <c r="BG1314" s="2194">
        <f>IF(N1314="zákl. přenesená",J1314,0)</f>
        <v>0</v>
      </c>
      <c r="BH1314" s="2194">
        <f>IF(N1314="sníž. přenesená",J1314,0)</f>
        <v>0</v>
      </c>
      <c r="BI1314" s="2194">
        <f>IF(N1314="nulová",J1314,0)</f>
        <v>0</v>
      </c>
      <c r="BJ1314" s="2056" t="s">
        <v>134</v>
      </c>
      <c r="BK1314" s="2194">
        <v>0</v>
      </c>
      <c r="BL1314" s="2056" t="s">
        <v>2894</v>
      </c>
      <c r="BM1314" s="2193" t="s">
        <v>5552</v>
      </c>
    </row>
    <row r="1315" spans="2:65" s="2070" customFormat="1" ht="24.2" customHeight="1">
      <c r="B1315" s="2164"/>
      <c r="C1315" s="5561" t="s">
        <v>11360</v>
      </c>
      <c r="D1315" s="4608" t="s">
        <v>3286</v>
      </c>
      <c r="E1315" s="4609" t="s">
        <v>5553</v>
      </c>
      <c r="F1315" s="4610" t="s">
        <v>5554</v>
      </c>
      <c r="G1315" s="4611" t="s">
        <v>155</v>
      </c>
      <c r="H1315" s="4612">
        <v>9</v>
      </c>
      <c r="I1315" s="5876" t="s">
        <v>11555</v>
      </c>
      <c r="J1315" s="5877"/>
      <c r="K1315" s="4610" t="s">
        <v>142</v>
      </c>
      <c r="L1315" s="2071"/>
      <c r="M1315" s="2190" t="s">
        <v>3146</v>
      </c>
      <c r="N1315" s="2163" t="s">
        <v>3181</v>
      </c>
      <c r="O1315" s="2191">
        <v>27.24</v>
      </c>
      <c r="P1315" s="2191">
        <f>O1315*H1315</f>
        <v>245.16</v>
      </c>
      <c r="Q1315" s="2191">
        <v>0</v>
      </c>
      <c r="R1315" s="2191">
        <f>Q1315*H1315</f>
        <v>0</v>
      </c>
      <c r="S1315" s="2191">
        <v>0</v>
      </c>
      <c r="T1315" s="2192">
        <f>S1315*H1315</f>
        <v>0</v>
      </c>
      <c r="AR1315" s="2193" t="s">
        <v>2894</v>
      </c>
      <c r="AT1315" s="2193" t="s">
        <v>3286</v>
      </c>
      <c r="AU1315" s="2193" t="s">
        <v>134</v>
      </c>
      <c r="AY1315" s="2056" t="s">
        <v>3285</v>
      </c>
      <c r="BE1315" s="2194">
        <f>IF(N1315="základní",J1315,0)</f>
        <v>0</v>
      </c>
      <c r="BF1315" s="2194">
        <f>IF(N1315="snížená",J1315,0)</f>
        <v>0</v>
      </c>
      <c r="BG1315" s="2194">
        <f>IF(N1315="zákl. přenesená",J1315,0)</f>
        <v>0</v>
      </c>
      <c r="BH1315" s="2194">
        <f>IF(N1315="sníž. přenesená",J1315,0)</f>
        <v>0</v>
      </c>
      <c r="BI1315" s="2194">
        <f>IF(N1315="nulová",J1315,0)</f>
        <v>0</v>
      </c>
      <c r="BJ1315" s="2056" t="s">
        <v>134</v>
      </c>
      <c r="BK1315" s="2194">
        <v>0</v>
      </c>
      <c r="BL1315" s="2056" t="s">
        <v>2894</v>
      </c>
      <c r="BM1315" s="2193" t="s">
        <v>5555</v>
      </c>
    </row>
    <row r="1316" spans="2:65" s="2195" customFormat="1">
      <c r="B1316" s="2196"/>
      <c r="D1316" s="2197" t="s">
        <v>3303</v>
      </c>
      <c r="E1316" s="2198" t="s">
        <v>3146</v>
      </c>
      <c r="F1316" s="2199" t="s">
        <v>5556</v>
      </c>
      <c r="H1316" s="2198" t="s">
        <v>3146</v>
      </c>
      <c r="L1316" s="2196"/>
      <c r="M1316" s="2200"/>
      <c r="T1316" s="2201"/>
      <c r="AT1316" s="2198" t="s">
        <v>3303</v>
      </c>
      <c r="AU1316" s="2198" t="s">
        <v>134</v>
      </c>
      <c r="AV1316" s="2195" t="s">
        <v>133</v>
      </c>
      <c r="AW1316" s="2195" t="s">
        <v>3171</v>
      </c>
      <c r="AX1316" s="2195" t="s">
        <v>3213</v>
      </c>
      <c r="AY1316" s="2198" t="s">
        <v>3285</v>
      </c>
    </row>
    <row r="1317" spans="2:65" s="2209" customFormat="1">
      <c r="B1317" s="2210"/>
      <c r="D1317" s="2197" t="s">
        <v>3303</v>
      </c>
      <c r="E1317" s="2211" t="s">
        <v>3146</v>
      </c>
      <c r="F1317" s="2212" t="s">
        <v>133</v>
      </c>
      <c r="H1317" s="2213">
        <v>1</v>
      </c>
      <c r="L1317" s="2210"/>
      <c r="M1317" s="2214"/>
      <c r="T1317" s="2215"/>
      <c r="AT1317" s="2211" t="s">
        <v>3303</v>
      </c>
      <c r="AU1317" s="2211" t="s">
        <v>134</v>
      </c>
      <c r="AV1317" s="2209" t="s">
        <v>134</v>
      </c>
      <c r="AW1317" s="2209" t="s">
        <v>3171</v>
      </c>
      <c r="AX1317" s="2209" t="s">
        <v>3213</v>
      </c>
      <c r="AY1317" s="2211" t="s">
        <v>3285</v>
      </c>
    </row>
    <row r="1318" spans="2:65" s="2195" customFormat="1">
      <c r="B1318" s="2196"/>
      <c r="D1318" s="2197" t="s">
        <v>3303</v>
      </c>
      <c r="E1318" s="2198" t="s">
        <v>3146</v>
      </c>
      <c r="F1318" s="2199" t="s">
        <v>5557</v>
      </c>
      <c r="H1318" s="2198" t="s">
        <v>3146</v>
      </c>
      <c r="L1318" s="2196"/>
      <c r="M1318" s="2200"/>
      <c r="T1318" s="2201"/>
      <c r="AT1318" s="2198" t="s">
        <v>3303</v>
      </c>
      <c r="AU1318" s="2198" t="s">
        <v>134</v>
      </c>
      <c r="AV1318" s="2195" t="s">
        <v>133</v>
      </c>
      <c r="AW1318" s="2195" t="s">
        <v>3171</v>
      </c>
      <c r="AX1318" s="2195" t="s">
        <v>3213</v>
      </c>
      <c r="AY1318" s="2198" t="s">
        <v>3285</v>
      </c>
    </row>
    <row r="1319" spans="2:65" s="2209" customFormat="1">
      <c r="B1319" s="2210"/>
      <c r="D1319" s="2197" t="s">
        <v>3303</v>
      </c>
      <c r="E1319" s="2211" t="s">
        <v>3146</v>
      </c>
      <c r="F1319" s="2212" t="s">
        <v>133</v>
      </c>
      <c r="H1319" s="2213">
        <v>1</v>
      </c>
      <c r="L1319" s="5647"/>
      <c r="M1319" s="2214"/>
      <c r="T1319" s="2215"/>
      <c r="AT1319" s="2211" t="s">
        <v>3303</v>
      </c>
      <c r="AU1319" s="2211" t="s">
        <v>134</v>
      </c>
      <c r="AV1319" s="2209" t="s">
        <v>134</v>
      </c>
      <c r="AW1319" s="2209" t="s">
        <v>3171</v>
      </c>
      <c r="AX1319" s="2209" t="s">
        <v>3213</v>
      </c>
      <c r="AY1319" s="2211" t="s">
        <v>3285</v>
      </c>
    </row>
    <row r="1320" spans="2:65" s="2202" customFormat="1">
      <c r="B1320" s="2203"/>
      <c r="D1320" s="2197" t="s">
        <v>3303</v>
      </c>
      <c r="E1320" s="2204" t="s">
        <v>3146</v>
      </c>
      <c r="F1320" s="2205" t="s">
        <v>3305</v>
      </c>
      <c r="H1320" s="2206">
        <v>2</v>
      </c>
      <c r="L1320" s="2217"/>
      <c r="M1320" s="2207"/>
      <c r="T1320" s="2208"/>
      <c r="AT1320" s="2204" t="s">
        <v>3303</v>
      </c>
      <c r="AU1320" s="2204" t="s">
        <v>134</v>
      </c>
      <c r="AV1320" s="2202" t="s">
        <v>854</v>
      </c>
      <c r="AW1320" s="2202" t="s">
        <v>3171</v>
      </c>
      <c r="AX1320" s="2202" t="s">
        <v>3213</v>
      </c>
      <c r="AY1320" s="2204" t="s">
        <v>3285</v>
      </c>
    </row>
    <row r="1321" spans="2:65" s="2195" customFormat="1">
      <c r="B1321" s="2196"/>
      <c r="D1321" s="2197" t="s">
        <v>3303</v>
      </c>
      <c r="E1321" s="2198" t="s">
        <v>3146</v>
      </c>
      <c r="F1321" s="2199" t="s">
        <v>5523</v>
      </c>
      <c r="H1321" s="2198" t="s">
        <v>3146</v>
      </c>
      <c r="L1321" s="2223"/>
      <c r="M1321" s="2200"/>
      <c r="T1321" s="2201"/>
      <c r="AT1321" s="2198" t="s">
        <v>3303</v>
      </c>
      <c r="AU1321" s="2198" t="s">
        <v>134</v>
      </c>
      <c r="AV1321" s="2195" t="s">
        <v>133</v>
      </c>
      <c r="AW1321" s="2195" t="s">
        <v>3171</v>
      </c>
      <c r="AX1321" s="2195" t="s">
        <v>3213</v>
      </c>
      <c r="AY1321" s="2198" t="s">
        <v>3285</v>
      </c>
    </row>
    <row r="1322" spans="2:65"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65" s="2195" customFormat="1">
      <c r="B1323" s="2196"/>
      <c r="D1323" s="2197" t="s">
        <v>3303</v>
      </c>
      <c r="E1323" s="2198" t="s">
        <v>3146</v>
      </c>
      <c r="F1323" s="2199" t="s">
        <v>5524</v>
      </c>
      <c r="H1323" s="2198" t="s">
        <v>3146</v>
      </c>
      <c r="L1323" s="2196"/>
      <c r="M1323" s="2200"/>
      <c r="T1323" s="2201"/>
      <c r="AT1323" s="2198" t="s">
        <v>3303</v>
      </c>
      <c r="AU1323" s="2198" t="s">
        <v>134</v>
      </c>
      <c r="AV1323" s="2195" t="s">
        <v>133</v>
      </c>
      <c r="AW1323" s="2195" t="s">
        <v>3171</v>
      </c>
      <c r="AX1323" s="2195" t="s">
        <v>3213</v>
      </c>
      <c r="AY1323" s="2198" t="s">
        <v>3285</v>
      </c>
    </row>
    <row r="1324" spans="2:65"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65" s="2195" customFormat="1">
      <c r="B1325" s="2196"/>
      <c r="D1325" s="2197" t="s">
        <v>3303</v>
      </c>
      <c r="E1325" s="2198" t="s">
        <v>3146</v>
      </c>
      <c r="F1325" s="2199" t="s">
        <v>5525</v>
      </c>
      <c r="H1325" s="2198" t="s">
        <v>3146</v>
      </c>
      <c r="L1325" s="2196"/>
      <c r="M1325" s="2200"/>
      <c r="T1325" s="2201"/>
      <c r="AT1325" s="2198" t="s">
        <v>3303</v>
      </c>
      <c r="AU1325" s="2198" t="s">
        <v>134</v>
      </c>
      <c r="AV1325" s="2195" t="s">
        <v>133</v>
      </c>
      <c r="AW1325" s="2195" t="s">
        <v>3171</v>
      </c>
      <c r="AX1325" s="2195" t="s">
        <v>3213</v>
      </c>
      <c r="AY1325" s="2198" t="s">
        <v>3285</v>
      </c>
    </row>
    <row r="1326" spans="2:65"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65" s="2195" customFormat="1">
      <c r="B1327" s="2196"/>
      <c r="D1327" s="2197" t="s">
        <v>3303</v>
      </c>
      <c r="E1327" s="2198" t="s">
        <v>3146</v>
      </c>
      <c r="F1327" s="2199" t="s">
        <v>5526</v>
      </c>
      <c r="H1327" s="2198" t="s">
        <v>3146</v>
      </c>
      <c r="L1327" s="2196"/>
      <c r="M1327" s="2200"/>
      <c r="T1327" s="2201"/>
      <c r="AT1327" s="2198" t="s">
        <v>3303</v>
      </c>
      <c r="AU1327" s="2198" t="s">
        <v>134</v>
      </c>
      <c r="AV1327" s="2195" t="s">
        <v>133</v>
      </c>
      <c r="AW1327" s="2195" t="s">
        <v>3171</v>
      </c>
      <c r="AX1327" s="2195" t="s">
        <v>3213</v>
      </c>
      <c r="AY1327" s="2198" t="s">
        <v>3285</v>
      </c>
    </row>
    <row r="1328" spans="2:65"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5527</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195" customFormat="1">
      <c r="B1331" s="2196"/>
      <c r="D1331" s="2197" t="s">
        <v>3303</v>
      </c>
      <c r="E1331" s="2198" t="s">
        <v>3146</v>
      </c>
      <c r="F1331" s="2199" t="s">
        <v>5528</v>
      </c>
      <c r="H1331" s="2198" t="s">
        <v>3146</v>
      </c>
      <c r="L1331" s="2196"/>
      <c r="M1331" s="2200"/>
      <c r="T1331" s="2201"/>
      <c r="AT1331" s="2198" t="s">
        <v>3303</v>
      </c>
      <c r="AU1331" s="2198" t="s">
        <v>134</v>
      </c>
      <c r="AV1331" s="2195" t="s">
        <v>133</v>
      </c>
      <c r="AW1331" s="2195" t="s">
        <v>3171</v>
      </c>
      <c r="AX1331" s="2195" t="s">
        <v>3213</v>
      </c>
      <c r="AY1331" s="2198" t="s">
        <v>3285</v>
      </c>
    </row>
    <row r="1332" spans="2:65" s="2209" customFormat="1">
      <c r="B1332" s="2210"/>
      <c r="D1332" s="2197" t="s">
        <v>3303</v>
      </c>
      <c r="E1332" s="2211" t="s">
        <v>3146</v>
      </c>
      <c r="F1332" s="2212" t="s">
        <v>133</v>
      </c>
      <c r="H1332" s="2213">
        <v>1</v>
      </c>
      <c r="L1332" s="2210"/>
      <c r="M1332" s="2214"/>
      <c r="T1332" s="2215"/>
      <c r="AT1332" s="2211" t="s">
        <v>3303</v>
      </c>
      <c r="AU1332" s="2211" t="s">
        <v>134</v>
      </c>
      <c r="AV1332" s="2209" t="s">
        <v>134</v>
      </c>
      <c r="AW1332" s="2209" t="s">
        <v>3171</v>
      </c>
      <c r="AX1332" s="2209" t="s">
        <v>3213</v>
      </c>
      <c r="AY1332" s="2211" t="s">
        <v>3285</v>
      </c>
    </row>
    <row r="1333" spans="2:65" s="2195" customFormat="1">
      <c r="B1333" s="2196"/>
      <c r="D1333" s="2197" t="s">
        <v>3303</v>
      </c>
      <c r="E1333" s="2198" t="s">
        <v>3146</v>
      </c>
      <c r="F1333" s="2199" t="s">
        <v>5529</v>
      </c>
      <c r="H1333" s="2198" t="s">
        <v>3146</v>
      </c>
      <c r="L1333" s="2196"/>
      <c r="M1333" s="2200"/>
      <c r="T1333" s="2201"/>
      <c r="AT1333" s="2198" t="s">
        <v>3303</v>
      </c>
      <c r="AU1333" s="2198" t="s">
        <v>134</v>
      </c>
      <c r="AV1333" s="2195" t="s">
        <v>133</v>
      </c>
      <c r="AW1333" s="2195" t="s">
        <v>3171</v>
      </c>
      <c r="AX1333" s="2195" t="s">
        <v>3213</v>
      </c>
      <c r="AY1333" s="2198" t="s">
        <v>3285</v>
      </c>
    </row>
    <row r="1334" spans="2:65" s="2209" customFormat="1">
      <c r="B1334" s="2210"/>
      <c r="D1334" s="2197" t="s">
        <v>3303</v>
      </c>
      <c r="E1334" s="2211" t="s">
        <v>3146</v>
      </c>
      <c r="F1334" s="2212" t="s">
        <v>133</v>
      </c>
      <c r="H1334" s="2213">
        <v>1</v>
      </c>
      <c r="L1334" s="2210"/>
      <c r="M1334" s="2214"/>
      <c r="T1334" s="2215"/>
      <c r="AT1334" s="2211" t="s">
        <v>3303</v>
      </c>
      <c r="AU1334" s="2211" t="s">
        <v>134</v>
      </c>
      <c r="AV1334" s="2209" t="s">
        <v>134</v>
      </c>
      <c r="AW1334" s="2209" t="s">
        <v>3171</v>
      </c>
      <c r="AX1334" s="2209" t="s">
        <v>3213</v>
      </c>
      <c r="AY1334" s="2211" t="s">
        <v>3285</v>
      </c>
    </row>
    <row r="1335" spans="2:65" s="2195" customFormat="1">
      <c r="B1335" s="2196"/>
      <c r="D1335" s="2197" t="s">
        <v>3303</v>
      </c>
      <c r="E1335" s="2198" t="s">
        <v>3146</v>
      </c>
      <c r="F1335" s="2199" t="s">
        <v>5530</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195" customFormat="1">
      <c r="B1337" s="2196"/>
      <c r="D1337" s="2197" t="s">
        <v>3303</v>
      </c>
      <c r="E1337" s="2198" t="s">
        <v>3146</v>
      </c>
      <c r="F1337" s="2199" t="s">
        <v>5531</v>
      </c>
      <c r="H1337" s="2198" t="s">
        <v>3146</v>
      </c>
      <c r="L1337" s="2196"/>
      <c r="M1337" s="2200"/>
      <c r="T1337" s="2201"/>
      <c r="AT1337" s="2198" t="s">
        <v>3303</v>
      </c>
      <c r="AU1337" s="2198" t="s">
        <v>134</v>
      </c>
      <c r="AV1337" s="2195" t="s">
        <v>133</v>
      </c>
      <c r="AW1337" s="2195" t="s">
        <v>3171</v>
      </c>
      <c r="AX1337" s="2195" t="s">
        <v>3213</v>
      </c>
      <c r="AY1337" s="2198" t="s">
        <v>3285</v>
      </c>
    </row>
    <row r="1338" spans="2:65" s="2209" customFormat="1">
      <c r="B1338" s="2210"/>
      <c r="D1338" s="2197" t="s">
        <v>3303</v>
      </c>
      <c r="E1338" s="2211" t="s">
        <v>3146</v>
      </c>
      <c r="F1338" s="2212" t="s">
        <v>133</v>
      </c>
      <c r="H1338" s="2213">
        <v>1</v>
      </c>
      <c r="L1338" s="2210"/>
      <c r="M1338" s="2214"/>
      <c r="T1338" s="2215"/>
      <c r="AT1338" s="2211" t="s">
        <v>3303</v>
      </c>
      <c r="AU1338" s="2211" t="s">
        <v>134</v>
      </c>
      <c r="AV1338" s="2209" t="s">
        <v>134</v>
      </c>
      <c r="AW1338" s="2209" t="s">
        <v>3171</v>
      </c>
      <c r="AX1338" s="2209" t="s">
        <v>3213</v>
      </c>
      <c r="AY1338" s="2211" t="s">
        <v>3285</v>
      </c>
    </row>
    <row r="1339" spans="2:65" s="2202" customFormat="1">
      <c r="B1339" s="2203"/>
      <c r="D1339" s="2197" t="s">
        <v>3303</v>
      </c>
      <c r="E1339" s="2204" t="s">
        <v>3146</v>
      </c>
      <c r="F1339" s="2205" t="s">
        <v>3305</v>
      </c>
      <c r="H1339" s="2206">
        <v>9</v>
      </c>
      <c r="L1339" s="2203"/>
      <c r="M1339" s="2207"/>
      <c r="T1339" s="2208"/>
      <c r="AT1339" s="2204" t="s">
        <v>3303</v>
      </c>
      <c r="AU1339" s="2204" t="s">
        <v>134</v>
      </c>
      <c r="AV1339" s="2202" t="s">
        <v>854</v>
      </c>
      <c r="AW1339" s="2202" t="s">
        <v>3171</v>
      </c>
      <c r="AX1339" s="2202" t="s">
        <v>133</v>
      </c>
      <c r="AY1339" s="2204" t="s">
        <v>3285</v>
      </c>
    </row>
    <row r="1340" spans="2:65" s="2070" customFormat="1" ht="33" customHeight="1">
      <c r="B1340" s="2164"/>
      <c r="C1340" s="5609" t="s">
        <v>11361</v>
      </c>
      <c r="D1340" s="4614" t="s">
        <v>135</v>
      </c>
      <c r="E1340" s="4615" t="s">
        <v>5535</v>
      </c>
      <c r="F1340" s="4616" t="s">
        <v>5536</v>
      </c>
      <c r="G1340" s="4617" t="s">
        <v>155</v>
      </c>
      <c r="H1340" s="4618">
        <v>2</v>
      </c>
      <c r="I1340" s="5874" t="s">
        <v>11555</v>
      </c>
      <c r="J1340" s="5875"/>
      <c r="K1340" s="4616" t="s">
        <v>142</v>
      </c>
      <c r="L1340" s="2223"/>
      <c r="M1340" s="2224" t="s">
        <v>3146</v>
      </c>
      <c r="N1340" s="2225" t="s">
        <v>3181</v>
      </c>
      <c r="O1340" s="2191">
        <v>0</v>
      </c>
      <c r="P1340" s="2191">
        <f>O1340*H1340</f>
        <v>0</v>
      </c>
      <c r="Q1340" s="2191">
        <v>0.12</v>
      </c>
      <c r="R1340" s="2191">
        <f>Q1340*H1340</f>
        <v>0.24</v>
      </c>
      <c r="S1340" s="2191">
        <v>0</v>
      </c>
      <c r="T1340" s="2192">
        <f>S1340*H1340</f>
        <v>0</v>
      </c>
      <c r="AR1340" s="2193" t="s">
        <v>3389</v>
      </c>
      <c r="AT1340" s="2193" t="s">
        <v>135</v>
      </c>
      <c r="AU1340" s="2193" t="s">
        <v>134</v>
      </c>
      <c r="AY1340" s="2056" t="s">
        <v>3285</v>
      </c>
      <c r="BE1340" s="2194">
        <f>IF(N1340="základní",J1340,0)</f>
        <v>0</v>
      </c>
      <c r="BF1340" s="2194">
        <f>IF(N1340="snížená",J1340,0)</f>
        <v>0</v>
      </c>
      <c r="BG1340" s="2194">
        <f>IF(N1340="zákl. přenesená",J1340,0)</f>
        <v>0</v>
      </c>
      <c r="BH1340" s="2194">
        <f>IF(N1340="sníž. přenesená",J1340,0)</f>
        <v>0</v>
      </c>
      <c r="BI1340" s="2194">
        <f>IF(N1340="nulová",J1340,0)</f>
        <v>0</v>
      </c>
      <c r="BJ1340" s="2056" t="s">
        <v>134</v>
      </c>
      <c r="BK1340" s="2194">
        <v>0</v>
      </c>
      <c r="BL1340" s="2056" t="s">
        <v>2894</v>
      </c>
      <c r="BM1340" s="2193" t="s">
        <v>5558</v>
      </c>
    </row>
    <row r="1341" spans="2:65" s="2070" customFormat="1" ht="24.2" customHeight="1">
      <c r="B1341" s="2164"/>
      <c r="C1341" s="5609" t="s">
        <v>11362</v>
      </c>
      <c r="D1341" s="4614" t="s">
        <v>135</v>
      </c>
      <c r="E1341" s="4615" t="s">
        <v>5538</v>
      </c>
      <c r="F1341" s="4616" t="s">
        <v>5539</v>
      </c>
      <c r="G1341" s="4617" t="s">
        <v>155</v>
      </c>
      <c r="H1341" s="4618">
        <v>2</v>
      </c>
      <c r="I1341" s="5874" t="s">
        <v>11555</v>
      </c>
      <c r="J1341" s="5875"/>
      <c r="K1341" s="4616" t="s">
        <v>3146</v>
      </c>
      <c r="L1341" s="2223"/>
      <c r="M1341" s="2224" t="s">
        <v>3146</v>
      </c>
      <c r="N1341" s="2225" t="s">
        <v>3181</v>
      </c>
      <c r="O1341" s="2191">
        <v>0</v>
      </c>
      <c r="P1341" s="2191">
        <f>O1341*H1341</f>
        <v>0</v>
      </c>
      <c r="Q1341" s="2191">
        <v>0</v>
      </c>
      <c r="R1341" s="2191">
        <f>Q1341*H1341</f>
        <v>0</v>
      </c>
      <c r="S1341" s="2191">
        <v>0</v>
      </c>
      <c r="T1341" s="2192">
        <f>S1341*H1341</f>
        <v>0</v>
      </c>
      <c r="AR1341" s="2193" t="s">
        <v>3389</v>
      </c>
      <c r="AT1341" s="2193" t="s">
        <v>135</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v>0</v>
      </c>
      <c r="BL1341" s="2056" t="s">
        <v>2894</v>
      </c>
      <c r="BM1341" s="2193" t="s">
        <v>5559</v>
      </c>
    </row>
    <row r="1342" spans="2:65" s="2070" customFormat="1" ht="24.2" customHeight="1">
      <c r="B1342" s="2164"/>
      <c r="C1342" s="4608" t="s">
        <v>11363</v>
      </c>
      <c r="D1342" s="4608" t="s">
        <v>3286</v>
      </c>
      <c r="E1342" s="4609" t="s">
        <v>5560</v>
      </c>
      <c r="F1342" s="4610" t="s">
        <v>5561</v>
      </c>
      <c r="G1342" s="4611" t="s">
        <v>611</v>
      </c>
      <c r="H1342" s="4612">
        <v>1</v>
      </c>
      <c r="I1342" s="4613"/>
      <c r="J1342" s="4613">
        <f>ROUND(I1342*H1342,2)</f>
        <v>0</v>
      </c>
      <c r="K1342" s="4610" t="s">
        <v>142</v>
      </c>
      <c r="L1342" s="2071"/>
      <c r="M1342" s="2190" t="s">
        <v>3146</v>
      </c>
      <c r="N1342" s="2163" t="s">
        <v>3181</v>
      </c>
      <c r="O1342" s="2191">
        <v>1.8</v>
      </c>
      <c r="P1342" s="2191">
        <f>O1342*H1342</f>
        <v>1.8</v>
      </c>
      <c r="Q1342" s="2191">
        <v>1.8000000000000001E-4</v>
      </c>
      <c r="R1342" s="2191">
        <f>Q1342*H1342</f>
        <v>1.8000000000000001E-4</v>
      </c>
      <c r="S1342" s="2191">
        <v>0</v>
      </c>
      <c r="T1342" s="2192">
        <f>S1342*H1342</f>
        <v>0</v>
      </c>
      <c r="AR1342" s="2193" t="s">
        <v>2894</v>
      </c>
      <c r="AT1342" s="2193" t="s">
        <v>3286</v>
      </c>
      <c r="AU1342" s="2193" t="s">
        <v>134</v>
      </c>
      <c r="AY1342" s="2056" t="s">
        <v>3285</v>
      </c>
      <c r="BE1342" s="2194">
        <f>IF(N1342="základní",J1342,0)</f>
        <v>0</v>
      </c>
      <c r="BF1342" s="2194">
        <f>IF(N1342="snížená",J1342,0)</f>
        <v>0</v>
      </c>
      <c r="BG1342" s="2194">
        <f>IF(N1342="zákl. přenesená",J1342,0)</f>
        <v>0</v>
      </c>
      <c r="BH1342" s="2194">
        <f>IF(N1342="sníž. přenesená",J1342,0)</f>
        <v>0</v>
      </c>
      <c r="BI1342" s="2194">
        <f>IF(N1342="nulová",J1342,0)</f>
        <v>0</v>
      </c>
      <c r="BJ1342" s="2056" t="s">
        <v>134</v>
      </c>
      <c r="BK1342" s="2194">
        <f>ROUND(I1342*H1342,2)</f>
        <v>0</v>
      </c>
      <c r="BL1342" s="2056" t="s">
        <v>2894</v>
      </c>
      <c r="BM1342" s="2193" t="s">
        <v>5562</v>
      </c>
    </row>
    <row r="1343" spans="2:65" s="2195" customFormat="1">
      <c r="B1343" s="2196"/>
      <c r="D1343" s="2197" t="s">
        <v>3303</v>
      </c>
      <c r="E1343" s="2198" t="s">
        <v>3146</v>
      </c>
      <c r="F1343" s="2199" t="s">
        <v>5563</v>
      </c>
      <c r="H1343" s="2198" t="s">
        <v>3146</v>
      </c>
      <c r="L1343" s="2196"/>
      <c r="M1343" s="2200"/>
      <c r="T1343" s="2201"/>
      <c r="AT1343" s="2198" t="s">
        <v>3303</v>
      </c>
      <c r="AU1343" s="2198" t="s">
        <v>134</v>
      </c>
      <c r="AV1343" s="2195" t="s">
        <v>133</v>
      </c>
      <c r="AW1343" s="2195" t="s">
        <v>3171</v>
      </c>
      <c r="AX1343" s="2195" t="s">
        <v>3213</v>
      </c>
      <c r="AY1343" s="2198" t="s">
        <v>3285</v>
      </c>
    </row>
    <row r="1344" spans="2:65" s="2209" customFormat="1">
      <c r="B1344" s="2210"/>
      <c r="D1344" s="2197" t="s">
        <v>3303</v>
      </c>
      <c r="E1344" s="2211" t="s">
        <v>3146</v>
      </c>
      <c r="F1344" s="2212" t="s">
        <v>133</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14" t="s">
        <v>11364</v>
      </c>
      <c r="D1346" s="4614" t="s">
        <v>135</v>
      </c>
      <c r="E1346" s="4615" t="s">
        <v>5564</v>
      </c>
      <c r="F1346" s="4616" t="s">
        <v>5565</v>
      </c>
      <c r="G1346" s="4617" t="s">
        <v>155</v>
      </c>
      <c r="H1346" s="4618">
        <v>1</v>
      </c>
      <c r="I1346" s="4619"/>
      <c r="J1346" s="4619">
        <f>ROUND(I1346*H1346,2)</f>
        <v>0</v>
      </c>
      <c r="K1346" s="4616" t="s">
        <v>3146</v>
      </c>
      <c r="L1346" s="2223"/>
      <c r="M1346" s="2224" t="s">
        <v>3146</v>
      </c>
      <c r="N1346" s="2225" t="s">
        <v>3181</v>
      </c>
      <c r="O1346" s="2191">
        <v>0</v>
      </c>
      <c r="P1346" s="2191">
        <f>O1346*H1346</f>
        <v>0</v>
      </c>
      <c r="Q1346" s="2191">
        <v>6.6E-3</v>
      </c>
      <c r="R1346" s="2191">
        <f>Q1346*H1346</f>
        <v>6.6E-3</v>
      </c>
      <c r="S1346" s="2191">
        <v>0</v>
      </c>
      <c r="T1346" s="2192">
        <f>S1346*H1346</f>
        <v>0</v>
      </c>
      <c r="AR1346" s="2193" t="s">
        <v>3389</v>
      </c>
      <c r="AT1346" s="2193" t="s">
        <v>135</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5566</v>
      </c>
    </row>
    <row r="1347" spans="2:65" s="2195" customFormat="1">
      <c r="B1347" s="2196"/>
      <c r="D1347" s="2197" t="s">
        <v>3303</v>
      </c>
      <c r="E1347" s="2198" t="s">
        <v>3146</v>
      </c>
      <c r="F1347" s="2199" t="s">
        <v>5563</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133</v>
      </c>
      <c r="AY1348" s="2211" t="s">
        <v>3285</v>
      </c>
    </row>
    <row r="1349" spans="2:65" s="2070" customFormat="1" ht="21.75" customHeight="1">
      <c r="B1349" s="2164"/>
      <c r="C1349" s="5561" t="s">
        <v>11365</v>
      </c>
      <c r="D1349" s="4608" t="s">
        <v>3286</v>
      </c>
      <c r="E1349" s="4609" t="s">
        <v>11366</v>
      </c>
      <c r="F1349" s="4610" t="s">
        <v>11367</v>
      </c>
      <c r="G1349" s="4611" t="s">
        <v>155</v>
      </c>
      <c r="H1349" s="4612">
        <v>1</v>
      </c>
      <c r="I1349" s="5874" t="s">
        <v>11555</v>
      </c>
      <c r="J1349" s="5875"/>
      <c r="K1349" s="4610" t="s">
        <v>142</v>
      </c>
      <c r="L1349" s="2071"/>
      <c r="M1349" s="2190" t="s">
        <v>3146</v>
      </c>
      <c r="N1349" s="2163" t="s">
        <v>3181</v>
      </c>
      <c r="O1349" s="2191">
        <v>3.82</v>
      </c>
      <c r="P1349" s="2191">
        <f>O1349*H1349</f>
        <v>3.82</v>
      </c>
      <c r="Q1349" s="2191">
        <v>3.3E-4</v>
      </c>
      <c r="R1349" s="2191">
        <f>Q1349*H1349</f>
        <v>3.3E-4</v>
      </c>
      <c r="S1349" s="2191">
        <v>0</v>
      </c>
      <c r="T1349" s="2192">
        <f>S1349*H1349</f>
        <v>0</v>
      </c>
      <c r="AR1349" s="2193" t="s">
        <v>2894</v>
      </c>
      <c r="AT1349" s="2193" t="s">
        <v>3286</v>
      </c>
      <c r="AU1349" s="2193" t="s">
        <v>134</v>
      </c>
      <c r="AY1349" s="2056" t="s">
        <v>3285</v>
      </c>
      <c r="BE1349" s="2194">
        <f>IF(N1349="základní",J1349,0)</f>
        <v>0</v>
      </c>
      <c r="BF1349" s="2194">
        <f>IF(N1349="snížená",J1349,0)</f>
        <v>0</v>
      </c>
      <c r="BG1349" s="2194">
        <f>IF(N1349="zákl. přenesená",J1349,0)</f>
        <v>0</v>
      </c>
      <c r="BH1349" s="2194">
        <f>IF(N1349="sníž. přenesená",J1349,0)</f>
        <v>0</v>
      </c>
      <c r="BI1349" s="2194">
        <f>IF(N1349="nulová",J1349,0)</f>
        <v>0</v>
      </c>
      <c r="BJ1349" s="2056" t="s">
        <v>134</v>
      </c>
      <c r="BK1349" s="2194">
        <v>0</v>
      </c>
      <c r="BL1349" s="2056" t="s">
        <v>2894</v>
      </c>
      <c r="BM1349" s="2193" t="s">
        <v>11368</v>
      </c>
    </row>
    <row r="1350" spans="2:65" s="2209" customFormat="1">
      <c r="B1350" s="2210"/>
      <c r="D1350" s="2197" t="s">
        <v>3303</v>
      </c>
      <c r="E1350" s="2211" t="s">
        <v>3146</v>
      </c>
      <c r="F1350" s="2212" t="s">
        <v>11369</v>
      </c>
      <c r="H1350" s="2213">
        <v>1</v>
      </c>
      <c r="L1350" s="2210"/>
      <c r="M1350" s="2214"/>
      <c r="T1350" s="2215"/>
      <c r="AT1350" s="2211" t="s">
        <v>3303</v>
      </c>
      <c r="AU1350" s="2211" t="s">
        <v>134</v>
      </c>
      <c r="AV1350" s="2209" t="s">
        <v>134</v>
      </c>
      <c r="AW1350" s="2209" t="s">
        <v>3171</v>
      </c>
      <c r="AX1350" s="2209" t="s">
        <v>133</v>
      </c>
      <c r="AY1350" s="2211" t="s">
        <v>3285</v>
      </c>
    </row>
    <row r="1351" spans="2:65" s="2070" customFormat="1" ht="33" customHeight="1">
      <c r="B1351" s="2164"/>
      <c r="C1351" s="5609" t="s">
        <v>11370</v>
      </c>
      <c r="D1351" s="4614" t="s">
        <v>135</v>
      </c>
      <c r="E1351" s="4615" t="s">
        <v>11371</v>
      </c>
      <c r="F1351" s="4616" t="s">
        <v>11372</v>
      </c>
      <c r="G1351" s="4617" t="s">
        <v>155</v>
      </c>
      <c r="H1351" s="4618">
        <v>1</v>
      </c>
      <c r="I1351" s="5874" t="s">
        <v>11555</v>
      </c>
      <c r="J1351" s="5875"/>
      <c r="K1351" s="4616" t="s">
        <v>142</v>
      </c>
      <c r="L1351" s="2223"/>
      <c r="M1351" s="2224" t="s">
        <v>3146</v>
      </c>
      <c r="N1351" s="2225" t="s">
        <v>3181</v>
      </c>
      <c r="O1351" s="2191">
        <v>0</v>
      </c>
      <c r="P1351" s="2191">
        <f>O1351*H1351</f>
        <v>0</v>
      </c>
      <c r="Q1351" s="2191">
        <v>9.8000000000000004E-2</v>
      </c>
      <c r="R1351" s="2191">
        <f>Q1351*H1351</f>
        <v>9.8000000000000004E-2</v>
      </c>
      <c r="S1351" s="2191">
        <v>0</v>
      </c>
      <c r="T1351" s="2192">
        <f>S1351*H1351</f>
        <v>0</v>
      </c>
      <c r="AR1351" s="2193" t="s">
        <v>3389</v>
      </c>
      <c r="AT1351" s="2193" t="s">
        <v>135</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v>0</v>
      </c>
      <c r="BL1351" s="2056" t="s">
        <v>2894</v>
      </c>
      <c r="BM1351" s="2193" t="s">
        <v>11373</v>
      </c>
    </row>
    <row r="1352" spans="2:65" s="2209" customFormat="1">
      <c r="B1352" s="2210"/>
      <c r="D1352" s="2197" t="s">
        <v>3303</v>
      </c>
      <c r="E1352" s="2211" t="s">
        <v>3146</v>
      </c>
      <c r="F1352" s="2212" t="s">
        <v>11369</v>
      </c>
      <c r="H1352" s="2213">
        <v>1</v>
      </c>
      <c r="L1352" s="2210"/>
      <c r="M1352" s="2214"/>
      <c r="T1352" s="2215"/>
      <c r="AT1352" s="2211" t="s">
        <v>3303</v>
      </c>
      <c r="AU1352" s="2211" t="s">
        <v>134</v>
      </c>
      <c r="AV1352" s="2209" t="s">
        <v>134</v>
      </c>
      <c r="AW1352" s="2209" t="s">
        <v>3171</v>
      </c>
      <c r="AX1352" s="2209" t="s">
        <v>3213</v>
      </c>
      <c r="AY1352" s="2211" t="s">
        <v>3285</v>
      </c>
    </row>
    <row r="1353" spans="2:65" s="2216" customFormat="1">
      <c r="B1353" s="2217"/>
      <c r="D1353" s="2197" t="s">
        <v>3303</v>
      </c>
      <c r="E1353" s="2218" t="s">
        <v>3146</v>
      </c>
      <c r="F1353" s="2219" t="s">
        <v>3306</v>
      </c>
      <c r="H1353" s="2220">
        <v>1</v>
      </c>
      <c r="L1353" s="2217"/>
      <c r="M1353" s="2221"/>
      <c r="T1353" s="2222"/>
      <c r="AT1353" s="2218" t="s">
        <v>3303</v>
      </c>
      <c r="AU1353" s="2218" t="s">
        <v>134</v>
      </c>
      <c r="AV1353" s="2216" t="s">
        <v>856</v>
      </c>
      <c r="AW1353" s="2216" t="s">
        <v>3171</v>
      </c>
      <c r="AX1353" s="2216" t="s">
        <v>133</v>
      </c>
      <c r="AY1353" s="2218" t="s">
        <v>3285</v>
      </c>
    </row>
    <row r="1354" spans="2:65" s="2070" customFormat="1" ht="24.2" customHeight="1">
      <c r="B1354" s="2164"/>
      <c r="C1354" s="5561" t="s">
        <v>11374</v>
      </c>
      <c r="D1354" s="4608" t="s">
        <v>3286</v>
      </c>
      <c r="E1354" s="4609" t="s">
        <v>11375</v>
      </c>
      <c r="F1354" s="4610" t="s">
        <v>11376</v>
      </c>
      <c r="G1354" s="4611" t="s">
        <v>155</v>
      </c>
      <c r="H1354" s="4612">
        <v>1</v>
      </c>
      <c r="I1354" s="5874" t="s">
        <v>11555</v>
      </c>
      <c r="J1354" s="5875"/>
      <c r="K1354" s="4610" t="s">
        <v>142</v>
      </c>
      <c r="L1354" s="2071"/>
      <c r="M1354" s="2190" t="s">
        <v>3146</v>
      </c>
      <c r="N1354" s="2163" t="s">
        <v>3181</v>
      </c>
      <c r="O1354" s="2191">
        <v>4.74</v>
      </c>
      <c r="P1354" s="2191">
        <f>O1354*H1354</f>
        <v>4.74</v>
      </c>
      <c r="Q1354" s="2191">
        <v>5.5999999999999995E-4</v>
      </c>
      <c r="R1354" s="2191">
        <f>Q1354*H1354</f>
        <v>5.5999999999999995E-4</v>
      </c>
      <c r="S1354" s="2191">
        <v>0</v>
      </c>
      <c r="T1354" s="2192">
        <f>S1354*H1354</f>
        <v>0</v>
      </c>
      <c r="AR1354" s="2193" t="s">
        <v>2894</v>
      </c>
      <c r="AT1354" s="2193" t="s">
        <v>3286</v>
      </c>
      <c r="AU1354" s="2193" t="s">
        <v>134</v>
      </c>
      <c r="AY1354" s="2056" t="s">
        <v>3285</v>
      </c>
      <c r="BE1354" s="2194">
        <f>IF(N1354="základní",J1354,0)</f>
        <v>0</v>
      </c>
      <c r="BF1354" s="2194">
        <f>IF(N1354="snížená",J1354,0)</f>
        <v>0</v>
      </c>
      <c r="BG1354" s="2194">
        <f>IF(N1354="zákl. přenesená",J1354,0)</f>
        <v>0</v>
      </c>
      <c r="BH1354" s="2194">
        <f>IF(N1354="sníž. přenesená",J1354,0)</f>
        <v>0</v>
      </c>
      <c r="BI1354" s="2194">
        <f>IF(N1354="nulová",J1354,0)</f>
        <v>0</v>
      </c>
      <c r="BJ1354" s="2056" t="s">
        <v>134</v>
      </c>
      <c r="BK1354" s="2194">
        <v>0</v>
      </c>
      <c r="BL1354" s="2056" t="s">
        <v>2894</v>
      </c>
      <c r="BM1354" s="2193" t="s">
        <v>11377</v>
      </c>
    </row>
    <row r="1355" spans="2:65" s="2195" customFormat="1">
      <c r="B1355" s="2196"/>
      <c r="D1355" s="2197" t="s">
        <v>3303</v>
      </c>
      <c r="E1355" s="2198" t="s">
        <v>3146</v>
      </c>
      <c r="F1355" s="2199" t="s">
        <v>11378</v>
      </c>
      <c r="H1355" s="2198" t="s">
        <v>3146</v>
      </c>
      <c r="L1355" s="2196"/>
      <c r="M1355" s="2200"/>
      <c r="T1355" s="2201"/>
      <c r="AT1355" s="2198" t="s">
        <v>3303</v>
      </c>
      <c r="AU1355" s="2198" t="s">
        <v>134</v>
      </c>
      <c r="AV1355" s="2195" t="s">
        <v>133</v>
      </c>
      <c r="AW1355" s="2195" t="s">
        <v>3171</v>
      </c>
      <c r="AX1355" s="2195" t="s">
        <v>3213</v>
      </c>
      <c r="AY1355" s="2198" t="s">
        <v>3285</v>
      </c>
    </row>
    <row r="1356" spans="2:65" s="2209" customFormat="1">
      <c r="B1356" s="2210"/>
      <c r="D1356" s="2197" t="s">
        <v>3303</v>
      </c>
      <c r="E1356" s="2211" t="s">
        <v>3146</v>
      </c>
      <c r="F1356" s="2212" t="s">
        <v>133</v>
      </c>
      <c r="H1356" s="2213">
        <v>1</v>
      </c>
      <c r="L1356" s="2210"/>
      <c r="M1356" s="2214"/>
      <c r="T1356" s="2215"/>
      <c r="AT1356" s="2211" t="s">
        <v>3303</v>
      </c>
      <c r="AU1356" s="2211" t="s">
        <v>134</v>
      </c>
      <c r="AV1356" s="2209" t="s">
        <v>134</v>
      </c>
      <c r="AW1356" s="2209" t="s">
        <v>3171</v>
      </c>
      <c r="AX1356" s="2209" t="s">
        <v>3213</v>
      </c>
      <c r="AY1356" s="2211" t="s">
        <v>3285</v>
      </c>
    </row>
    <row r="1357" spans="2:65" s="2216" customFormat="1">
      <c r="B1357" s="2217"/>
      <c r="D1357" s="2197" t="s">
        <v>3303</v>
      </c>
      <c r="E1357" s="2218" t="s">
        <v>3146</v>
      </c>
      <c r="F1357" s="2219" t="s">
        <v>3306</v>
      </c>
      <c r="H1357" s="2220">
        <v>1</v>
      </c>
      <c r="L1357" s="2217"/>
      <c r="M1357" s="2221"/>
      <c r="T1357" s="2222"/>
      <c r="AT1357" s="2218" t="s">
        <v>3303</v>
      </c>
      <c r="AU1357" s="2218" t="s">
        <v>134</v>
      </c>
      <c r="AV1357" s="2216" t="s">
        <v>856</v>
      </c>
      <c r="AW1357" s="2216" t="s">
        <v>3171</v>
      </c>
      <c r="AX1357" s="2216" t="s">
        <v>133</v>
      </c>
      <c r="AY1357" s="2218" t="s">
        <v>3285</v>
      </c>
    </row>
    <row r="1358" spans="2:65" s="2070" customFormat="1" ht="33" customHeight="1">
      <c r="B1358" s="2164"/>
      <c r="C1358" s="5609" t="s">
        <v>11379</v>
      </c>
      <c r="D1358" s="4614" t="s">
        <v>135</v>
      </c>
      <c r="E1358" s="4615" t="s">
        <v>11380</v>
      </c>
      <c r="F1358" s="4616" t="s">
        <v>11381</v>
      </c>
      <c r="G1358" s="4617" t="s">
        <v>155</v>
      </c>
      <c r="H1358" s="4618">
        <v>1</v>
      </c>
      <c r="I1358" s="5874" t="s">
        <v>11555</v>
      </c>
      <c r="J1358" s="5875"/>
      <c r="K1358" s="4616" t="s">
        <v>142</v>
      </c>
      <c r="L1358" s="2223"/>
      <c r="M1358" s="2224" t="s">
        <v>3146</v>
      </c>
      <c r="N1358" s="2225" t="s">
        <v>3181</v>
      </c>
      <c r="O1358" s="2191">
        <v>0</v>
      </c>
      <c r="P1358" s="2191">
        <f>O1358*H1358</f>
        <v>0</v>
      </c>
      <c r="Q1358" s="2191">
        <v>0.153</v>
      </c>
      <c r="R1358" s="2191">
        <f>Q1358*H1358</f>
        <v>0.153</v>
      </c>
      <c r="S1358" s="2191">
        <v>0</v>
      </c>
      <c r="T1358" s="2192">
        <f>S1358*H1358</f>
        <v>0</v>
      </c>
      <c r="AR1358" s="2193" t="s">
        <v>3389</v>
      </c>
      <c r="AT1358" s="2193" t="s">
        <v>135</v>
      </c>
      <c r="AU1358" s="2193" t="s">
        <v>134</v>
      </c>
      <c r="AY1358" s="2056" t="s">
        <v>3285</v>
      </c>
      <c r="BE1358" s="2194">
        <f>IF(N1358="základní",J1358,0)</f>
        <v>0</v>
      </c>
      <c r="BF1358" s="2194">
        <f>IF(N1358="snížená",J1358,0)</f>
        <v>0</v>
      </c>
      <c r="BG1358" s="2194">
        <f>IF(N1358="zákl. přenesená",J1358,0)</f>
        <v>0</v>
      </c>
      <c r="BH1358" s="2194">
        <f>IF(N1358="sníž. přenesená",J1358,0)</f>
        <v>0</v>
      </c>
      <c r="BI1358" s="2194">
        <f>IF(N1358="nulová",J1358,0)</f>
        <v>0</v>
      </c>
      <c r="BJ1358" s="2056" t="s">
        <v>134</v>
      </c>
      <c r="BK1358" s="2194">
        <v>0</v>
      </c>
      <c r="BL1358" s="2056" t="s">
        <v>2894</v>
      </c>
      <c r="BM1358" s="2193" t="s">
        <v>11382</v>
      </c>
    </row>
    <row r="1359" spans="2:65" s="2070" customFormat="1" ht="24.2" customHeight="1">
      <c r="B1359" s="2164"/>
      <c r="C1359" s="5561" t="s">
        <v>11383</v>
      </c>
      <c r="D1359" s="4608" t="s">
        <v>3286</v>
      </c>
      <c r="E1359" s="4609" t="s">
        <v>5567</v>
      </c>
      <c r="F1359" s="4610" t="s">
        <v>5568</v>
      </c>
      <c r="G1359" s="4611" t="s">
        <v>155</v>
      </c>
      <c r="H1359" s="4612">
        <v>2</v>
      </c>
      <c r="I1359" s="5874" t="s">
        <v>11555</v>
      </c>
      <c r="J1359" s="5875"/>
      <c r="K1359" s="4610" t="s">
        <v>142</v>
      </c>
      <c r="L1359" s="2071"/>
      <c r="M1359" s="2190" t="s">
        <v>3146</v>
      </c>
      <c r="N1359" s="2163" t="s">
        <v>3181</v>
      </c>
      <c r="O1359" s="2191">
        <v>5.25</v>
      </c>
      <c r="P1359" s="2191">
        <f>O1359*H1359</f>
        <v>10.5</v>
      </c>
      <c r="Q1359" s="2191">
        <v>6.0999999999999997E-4</v>
      </c>
      <c r="R1359" s="2191">
        <f>Q1359*H1359</f>
        <v>1.2199999999999999E-3</v>
      </c>
      <c r="S1359" s="2191">
        <v>0</v>
      </c>
      <c r="T1359" s="2192">
        <f>S1359*H1359</f>
        <v>0</v>
      </c>
      <c r="AR1359" s="2193" t="s">
        <v>2894</v>
      </c>
      <c r="AT1359" s="2193" t="s">
        <v>3286</v>
      </c>
      <c r="AU1359" s="2193" t="s">
        <v>134</v>
      </c>
      <c r="AY1359" s="2056" t="s">
        <v>3285</v>
      </c>
      <c r="BE1359" s="2194">
        <f>IF(N1359="základní",J1359,0)</f>
        <v>0</v>
      </c>
      <c r="BF1359" s="2194">
        <f>IF(N1359="snížená",J1359,0)</f>
        <v>0</v>
      </c>
      <c r="BG1359" s="2194">
        <f>IF(N1359="zákl. přenesená",J1359,0)</f>
        <v>0</v>
      </c>
      <c r="BH1359" s="2194">
        <f>IF(N1359="sníž. přenesená",J1359,0)</f>
        <v>0</v>
      </c>
      <c r="BI1359" s="2194">
        <f>IF(N1359="nulová",J1359,0)</f>
        <v>0</v>
      </c>
      <c r="BJ1359" s="2056" t="s">
        <v>134</v>
      </c>
      <c r="BK1359" s="2194">
        <v>0</v>
      </c>
      <c r="BL1359" s="2056" t="s">
        <v>2894</v>
      </c>
      <c r="BM1359" s="2193" t="s">
        <v>5569</v>
      </c>
    </row>
    <row r="1360" spans="2:65" s="2195" customFormat="1">
      <c r="B1360" s="2196"/>
      <c r="D1360" s="2197" t="s">
        <v>3303</v>
      </c>
      <c r="E1360" s="2198" t="s">
        <v>3146</v>
      </c>
      <c r="F1360" s="2199" t="s">
        <v>5570</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195" customFormat="1">
      <c r="B1362" s="2196"/>
      <c r="D1362" s="2197" t="s">
        <v>3303</v>
      </c>
      <c r="E1362" s="2198" t="s">
        <v>3146</v>
      </c>
      <c r="F1362" s="2199" t="s">
        <v>5571</v>
      </c>
      <c r="H1362" s="2198" t="s">
        <v>3146</v>
      </c>
      <c r="L1362" s="2196"/>
      <c r="M1362" s="2200"/>
      <c r="T1362" s="2201"/>
      <c r="AT1362" s="2198" t="s">
        <v>3303</v>
      </c>
      <c r="AU1362" s="2198" t="s">
        <v>134</v>
      </c>
      <c r="AV1362" s="2195" t="s">
        <v>133</v>
      </c>
      <c r="AW1362" s="2195" t="s">
        <v>3171</v>
      </c>
      <c r="AX1362" s="2195" t="s">
        <v>3213</v>
      </c>
      <c r="AY1362" s="2198" t="s">
        <v>3285</v>
      </c>
    </row>
    <row r="1363" spans="2:65" s="2209" customFormat="1">
      <c r="B1363" s="2210"/>
      <c r="D1363" s="2197" t="s">
        <v>3303</v>
      </c>
      <c r="E1363" s="2211" t="s">
        <v>3146</v>
      </c>
      <c r="F1363" s="2212" t="s">
        <v>133</v>
      </c>
      <c r="H1363" s="2213">
        <v>1</v>
      </c>
      <c r="L1363" s="2210"/>
      <c r="M1363" s="2214"/>
      <c r="T1363" s="2215"/>
      <c r="AT1363" s="2211" t="s">
        <v>3303</v>
      </c>
      <c r="AU1363" s="2211" t="s">
        <v>134</v>
      </c>
      <c r="AV1363" s="2209" t="s">
        <v>134</v>
      </c>
      <c r="AW1363" s="2209" t="s">
        <v>3171</v>
      </c>
      <c r="AX1363" s="2209" t="s">
        <v>3213</v>
      </c>
      <c r="AY1363" s="2211" t="s">
        <v>3285</v>
      </c>
    </row>
    <row r="1364" spans="2:65" s="2216" customFormat="1">
      <c r="B1364" s="2217"/>
      <c r="D1364" s="2197" t="s">
        <v>3303</v>
      </c>
      <c r="E1364" s="2218" t="s">
        <v>3146</v>
      </c>
      <c r="F1364" s="2219" t="s">
        <v>3306</v>
      </c>
      <c r="H1364" s="2220">
        <v>2</v>
      </c>
      <c r="L1364" s="2217"/>
      <c r="M1364" s="2221"/>
      <c r="T1364" s="2222"/>
      <c r="AT1364" s="2218" t="s">
        <v>3303</v>
      </c>
      <c r="AU1364" s="2218" t="s">
        <v>134</v>
      </c>
      <c r="AV1364" s="2216" t="s">
        <v>856</v>
      </c>
      <c r="AW1364" s="2216" t="s">
        <v>3171</v>
      </c>
      <c r="AX1364" s="2216" t="s">
        <v>133</v>
      </c>
      <c r="AY1364" s="2218" t="s">
        <v>3285</v>
      </c>
    </row>
    <row r="1365" spans="2:65" s="2070" customFormat="1" ht="24.2" customHeight="1">
      <c r="B1365" s="2164"/>
      <c r="C1365" s="5609" t="s">
        <v>11384</v>
      </c>
      <c r="D1365" s="4614" t="s">
        <v>135</v>
      </c>
      <c r="E1365" s="4615" t="s">
        <v>5572</v>
      </c>
      <c r="F1365" s="4616" t="s">
        <v>5573</v>
      </c>
      <c r="G1365" s="4617" t="s">
        <v>155</v>
      </c>
      <c r="H1365" s="4618">
        <v>2</v>
      </c>
      <c r="I1365" s="5874" t="s">
        <v>11555</v>
      </c>
      <c r="J1365" s="5875"/>
      <c r="K1365" s="4616" t="s">
        <v>3146</v>
      </c>
      <c r="L1365" s="2223"/>
      <c r="M1365" s="2224" t="s">
        <v>3146</v>
      </c>
      <c r="N1365" s="2225" t="s">
        <v>3181</v>
      </c>
      <c r="O1365" s="2191">
        <v>0</v>
      </c>
      <c r="P1365" s="2191">
        <f>O1365*H1365</f>
        <v>0</v>
      </c>
      <c r="Q1365" s="2191">
        <v>0.12864999999999999</v>
      </c>
      <c r="R1365" s="2191">
        <f>Q1365*H1365</f>
        <v>0.25729999999999997</v>
      </c>
      <c r="S1365" s="2191">
        <v>0</v>
      </c>
      <c r="T1365" s="2192">
        <f>S1365*H1365</f>
        <v>0</v>
      </c>
      <c r="AR1365" s="2193" t="s">
        <v>3389</v>
      </c>
      <c r="AT1365" s="2193" t="s">
        <v>135</v>
      </c>
      <c r="AU1365" s="2193" t="s">
        <v>134</v>
      </c>
      <c r="AY1365" s="2056" t="s">
        <v>3285</v>
      </c>
      <c r="BE1365" s="2194">
        <f>IF(N1365="základní",J1365,0)</f>
        <v>0</v>
      </c>
      <c r="BF1365" s="2194">
        <f>IF(N1365="snížená",J1365,0)</f>
        <v>0</v>
      </c>
      <c r="BG1365" s="2194">
        <f>IF(N1365="zákl. přenesená",J1365,0)</f>
        <v>0</v>
      </c>
      <c r="BH1365" s="2194">
        <f>IF(N1365="sníž. přenesená",J1365,0)</f>
        <v>0</v>
      </c>
      <c r="BI1365" s="2194">
        <f>IF(N1365="nulová",J1365,0)</f>
        <v>0</v>
      </c>
      <c r="BJ1365" s="2056" t="s">
        <v>134</v>
      </c>
      <c r="BK1365" s="2194">
        <v>0</v>
      </c>
      <c r="BL1365" s="2056" t="s">
        <v>2894</v>
      </c>
      <c r="BM1365" s="2193" t="s">
        <v>5574</v>
      </c>
    </row>
    <row r="1366" spans="2:65" s="2195" customFormat="1">
      <c r="B1366" s="2196"/>
      <c r="D1366" s="2197" t="s">
        <v>3303</v>
      </c>
      <c r="E1366" s="2198" t="s">
        <v>3146</v>
      </c>
      <c r="F1366" s="2199" t="s">
        <v>5570</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133</v>
      </c>
      <c r="H1367" s="2213">
        <v>1</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5571</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c r="B1369" s="2210"/>
      <c r="D1369" s="2197" t="s">
        <v>3303</v>
      </c>
      <c r="E1369" s="2211" t="s">
        <v>3146</v>
      </c>
      <c r="F1369" s="2212" t="s">
        <v>133</v>
      </c>
      <c r="H1369" s="2213">
        <v>1</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2</v>
      </c>
      <c r="L1370" s="2217"/>
      <c r="M1370" s="2221"/>
      <c r="T1370" s="2222"/>
      <c r="AT1370" s="2218" t="s">
        <v>3303</v>
      </c>
      <c r="AU1370" s="2218" t="s">
        <v>134</v>
      </c>
      <c r="AV1370" s="2216" t="s">
        <v>856</v>
      </c>
      <c r="AW1370" s="2216" t="s">
        <v>3171</v>
      </c>
      <c r="AX1370" s="2216" t="s">
        <v>133</v>
      </c>
      <c r="AY1370" s="2218" t="s">
        <v>3285</v>
      </c>
    </row>
    <row r="1371" spans="2:65" s="2070" customFormat="1" ht="16.5" customHeight="1">
      <c r="B1371" s="2164"/>
      <c r="C1371" s="4608" t="s">
        <v>11385</v>
      </c>
      <c r="D1371" s="4608" t="s">
        <v>3286</v>
      </c>
      <c r="E1371" s="4609" t="s">
        <v>5575</v>
      </c>
      <c r="F1371" s="4610" t="s">
        <v>5576</v>
      </c>
      <c r="G1371" s="4611" t="s">
        <v>155</v>
      </c>
      <c r="H1371" s="4612">
        <v>91</v>
      </c>
      <c r="I1371" s="5874" t="s">
        <v>11555</v>
      </c>
      <c r="J1371" s="5875"/>
      <c r="K1371" s="4610" t="s">
        <v>142</v>
      </c>
      <c r="L1371" s="2071"/>
      <c r="M1371" s="2190" t="s">
        <v>3146</v>
      </c>
      <c r="N1371" s="2163" t="s">
        <v>3181</v>
      </c>
      <c r="O1371" s="2191">
        <v>0.45</v>
      </c>
      <c r="P1371" s="2191">
        <f>O1371*H1371</f>
        <v>40.950000000000003</v>
      </c>
      <c r="Q1371" s="2191">
        <v>0</v>
      </c>
      <c r="R1371" s="2191">
        <f>Q1371*H1371</f>
        <v>0</v>
      </c>
      <c r="S1371" s="2191">
        <v>0</v>
      </c>
      <c r="T1371" s="2192">
        <f>S1371*H1371</f>
        <v>0</v>
      </c>
      <c r="AR1371" s="2193" t="s">
        <v>2894</v>
      </c>
      <c r="AT1371" s="2193" t="s">
        <v>3286</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v>0</v>
      </c>
      <c r="BL1371" s="2056" t="s">
        <v>2894</v>
      </c>
      <c r="BM1371" s="2193" t="s">
        <v>5577</v>
      </c>
    </row>
    <row r="1372" spans="2:65" s="2195" customFormat="1">
      <c r="B1372" s="2196"/>
      <c r="D1372" s="2197" t="s">
        <v>3303</v>
      </c>
      <c r="E1372" s="2198" t="s">
        <v>3146</v>
      </c>
      <c r="F1372" s="2199" t="s">
        <v>5160</v>
      </c>
      <c r="H1372" s="2198" t="s">
        <v>3146</v>
      </c>
      <c r="L1372" s="2196"/>
      <c r="M1372" s="2200"/>
      <c r="T1372" s="2201"/>
      <c r="AT1372" s="2198" t="s">
        <v>3303</v>
      </c>
      <c r="AU1372" s="2198" t="s">
        <v>134</v>
      </c>
      <c r="AV1372" s="2195" t="s">
        <v>133</v>
      </c>
      <c r="AW1372" s="2195" t="s">
        <v>3171</v>
      </c>
      <c r="AX1372" s="2195" t="s">
        <v>3213</v>
      </c>
      <c r="AY1372" s="2198" t="s">
        <v>3285</v>
      </c>
    </row>
    <row r="1373" spans="2:65" s="2209" customFormat="1">
      <c r="B1373" s="2210"/>
      <c r="D1373" s="2197" t="s">
        <v>3303</v>
      </c>
      <c r="E1373" s="2211" t="s">
        <v>3146</v>
      </c>
      <c r="F1373" s="2212" t="s">
        <v>5578</v>
      </c>
      <c r="H1373" s="2213">
        <v>12</v>
      </c>
      <c r="L1373" s="2210"/>
      <c r="M1373" s="2214"/>
      <c r="T1373" s="2215"/>
      <c r="AT1373" s="2211" t="s">
        <v>3303</v>
      </c>
      <c r="AU1373" s="2211" t="s">
        <v>134</v>
      </c>
      <c r="AV1373" s="2209" t="s">
        <v>134</v>
      </c>
      <c r="AW1373" s="2209" t="s">
        <v>3171</v>
      </c>
      <c r="AX1373" s="2209" t="s">
        <v>3213</v>
      </c>
      <c r="AY1373" s="2211" t="s">
        <v>3285</v>
      </c>
    </row>
    <row r="1374" spans="2:65" s="2195" customFormat="1">
      <c r="B1374" s="2196"/>
      <c r="D1374" s="2197" t="s">
        <v>3303</v>
      </c>
      <c r="E1374" s="2198" t="s">
        <v>3146</v>
      </c>
      <c r="F1374" s="2199" t="s">
        <v>5579</v>
      </c>
      <c r="H1374" s="2198" t="s">
        <v>3146</v>
      </c>
      <c r="L1374" s="2196"/>
      <c r="M1374" s="2200"/>
      <c r="T1374" s="2201"/>
      <c r="AT1374" s="2198" t="s">
        <v>3303</v>
      </c>
      <c r="AU1374" s="2198" t="s">
        <v>134</v>
      </c>
      <c r="AV1374" s="2195" t="s">
        <v>133</v>
      </c>
      <c r="AW1374" s="2195" t="s">
        <v>3171</v>
      </c>
      <c r="AX1374" s="2195" t="s">
        <v>3213</v>
      </c>
      <c r="AY1374" s="2198" t="s">
        <v>3285</v>
      </c>
    </row>
    <row r="1375" spans="2:65" s="2209" customFormat="1">
      <c r="B1375" s="2210"/>
      <c r="D1375" s="2197" t="s">
        <v>3303</v>
      </c>
      <c r="E1375" s="2211" t="s">
        <v>3146</v>
      </c>
      <c r="F1375" s="2212" t="s">
        <v>4744</v>
      </c>
      <c r="H1375" s="2213">
        <v>4</v>
      </c>
      <c r="L1375" s="2210"/>
      <c r="M1375" s="2214"/>
      <c r="T1375" s="2215"/>
      <c r="AT1375" s="2211" t="s">
        <v>3303</v>
      </c>
      <c r="AU1375" s="2211" t="s">
        <v>134</v>
      </c>
      <c r="AV1375" s="2209" t="s">
        <v>134</v>
      </c>
      <c r="AW1375" s="2209" t="s">
        <v>3171</v>
      </c>
      <c r="AX1375" s="2209" t="s">
        <v>3213</v>
      </c>
      <c r="AY1375" s="2211" t="s">
        <v>3285</v>
      </c>
    </row>
    <row r="1376" spans="2:65" s="2195" customFormat="1">
      <c r="B1376" s="2196"/>
      <c r="D1376" s="2197" t="s">
        <v>3303</v>
      </c>
      <c r="E1376" s="2198" t="s">
        <v>3146</v>
      </c>
      <c r="F1376" s="2199" t="s">
        <v>11386</v>
      </c>
      <c r="H1376" s="2198" t="s">
        <v>3146</v>
      </c>
      <c r="L1376" s="2196"/>
      <c r="M1376" s="2200"/>
      <c r="T1376" s="2201"/>
      <c r="AT1376" s="2198" t="s">
        <v>3303</v>
      </c>
      <c r="AU1376" s="2198" t="s">
        <v>134</v>
      </c>
      <c r="AV1376" s="2195" t="s">
        <v>133</v>
      </c>
      <c r="AW1376" s="2195" t="s">
        <v>3171</v>
      </c>
      <c r="AX1376" s="2195" t="s">
        <v>3213</v>
      </c>
      <c r="AY1376" s="2198" t="s">
        <v>3285</v>
      </c>
    </row>
    <row r="1377" spans="2:65" s="2209" customFormat="1" ht="22.5">
      <c r="B1377" s="2210"/>
      <c r="D1377" s="2197" t="s">
        <v>3303</v>
      </c>
      <c r="E1377" s="2211" t="s">
        <v>3146</v>
      </c>
      <c r="F1377" s="2212" t="s">
        <v>11387</v>
      </c>
      <c r="H1377" s="2213">
        <v>75</v>
      </c>
      <c r="L1377" s="2210"/>
      <c r="M1377" s="2214"/>
      <c r="T1377" s="2215"/>
      <c r="AT1377" s="2211" t="s">
        <v>3303</v>
      </c>
      <c r="AU1377" s="2211" t="s">
        <v>134</v>
      </c>
      <c r="AV1377" s="2209" t="s">
        <v>134</v>
      </c>
      <c r="AW1377" s="2209" t="s">
        <v>3171</v>
      </c>
      <c r="AX1377" s="2209" t="s">
        <v>3213</v>
      </c>
      <c r="AY1377" s="2211" t="s">
        <v>3285</v>
      </c>
    </row>
    <row r="1378" spans="2:65" s="2216" customFormat="1">
      <c r="B1378" s="2217"/>
      <c r="D1378" s="2197" t="s">
        <v>3303</v>
      </c>
      <c r="E1378" s="2218" t="s">
        <v>3146</v>
      </c>
      <c r="F1378" s="2219" t="s">
        <v>3306</v>
      </c>
      <c r="H1378" s="2220">
        <v>91</v>
      </c>
      <c r="L1378" s="2217"/>
      <c r="M1378" s="2221"/>
      <c r="T1378" s="2222"/>
      <c r="AT1378" s="2218" t="s">
        <v>3303</v>
      </c>
      <c r="AU1378" s="2218" t="s">
        <v>134</v>
      </c>
      <c r="AV1378" s="2216" t="s">
        <v>856</v>
      </c>
      <c r="AW1378" s="2216" t="s">
        <v>3171</v>
      </c>
      <c r="AX1378" s="2216" t="s">
        <v>133</v>
      </c>
      <c r="AY1378" s="2218" t="s">
        <v>3285</v>
      </c>
    </row>
    <row r="1379" spans="2:65" s="2070" customFormat="1" ht="24.2" customHeight="1">
      <c r="B1379" s="2164"/>
      <c r="C1379" s="4614" t="s">
        <v>11388</v>
      </c>
      <c r="D1379" s="4614" t="s">
        <v>135</v>
      </c>
      <c r="E1379" s="4615" t="s">
        <v>5580</v>
      </c>
      <c r="F1379" s="4616" t="s">
        <v>5581</v>
      </c>
      <c r="G1379" s="4617" t="s">
        <v>155</v>
      </c>
      <c r="H1379" s="4618">
        <v>91</v>
      </c>
      <c r="I1379" s="5874" t="s">
        <v>11555</v>
      </c>
      <c r="J1379" s="5875"/>
      <c r="K1379" s="4616" t="s">
        <v>3146</v>
      </c>
      <c r="L1379" s="2223"/>
      <c r="M1379" s="2224" t="s">
        <v>3146</v>
      </c>
      <c r="N1379" s="2225" t="s">
        <v>3181</v>
      </c>
      <c r="O1379" s="2191">
        <v>0</v>
      </c>
      <c r="P1379" s="2191">
        <f>O1379*H1379</f>
        <v>0</v>
      </c>
      <c r="Q1379" s="2191">
        <v>0</v>
      </c>
      <c r="R1379" s="2191">
        <f>Q1379*H1379</f>
        <v>0</v>
      </c>
      <c r="S1379" s="2191">
        <v>0</v>
      </c>
      <c r="T1379" s="2192">
        <f>S1379*H1379</f>
        <v>0</v>
      </c>
      <c r="AR1379" s="2193" t="s">
        <v>3389</v>
      </c>
      <c r="AT1379" s="2193" t="s">
        <v>135</v>
      </c>
      <c r="AU1379" s="2193" t="s">
        <v>134</v>
      </c>
      <c r="AY1379" s="2056" t="s">
        <v>3285</v>
      </c>
      <c r="BE1379" s="2194">
        <f>IF(N1379="základní",J1379,0)</f>
        <v>0</v>
      </c>
      <c r="BF1379" s="2194">
        <f>IF(N1379="snížená",J1379,0)</f>
        <v>0</v>
      </c>
      <c r="BG1379" s="2194">
        <f>IF(N1379="zákl. přenesená",J1379,0)</f>
        <v>0</v>
      </c>
      <c r="BH1379" s="2194">
        <f>IF(N1379="sníž. přenesená",J1379,0)</f>
        <v>0</v>
      </c>
      <c r="BI1379" s="2194">
        <f>IF(N1379="nulová",J1379,0)</f>
        <v>0</v>
      </c>
      <c r="BJ1379" s="2056" t="s">
        <v>134</v>
      </c>
      <c r="BK1379" s="2194">
        <v>0</v>
      </c>
      <c r="BL1379" s="2056" t="s">
        <v>2894</v>
      </c>
      <c r="BM1379" s="2193" t="s">
        <v>5582</v>
      </c>
    </row>
    <row r="1380" spans="2:65" s="2070" customFormat="1" ht="16.5" customHeight="1">
      <c r="B1380" s="2164"/>
      <c r="C1380" s="4608" t="s">
        <v>11389</v>
      </c>
      <c r="D1380" s="4608" t="s">
        <v>3286</v>
      </c>
      <c r="E1380" s="4609" t="s">
        <v>11390</v>
      </c>
      <c r="F1380" s="4610" t="s">
        <v>11391</v>
      </c>
      <c r="G1380" s="4611" t="s">
        <v>155</v>
      </c>
      <c r="H1380" s="4612">
        <v>47</v>
      </c>
      <c r="I1380" s="5874" t="s">
        <v>11555</v>
      </c>
      <c r="J1380" s="5875"/>
      <c r="K1380" s="4610" t="s">
        <v>142</v>
      </c>
      <c r="L1380" s="2071"/>
      <c r="M1380" s="2190" t="s">
        <v>3146</v>
      </c>
      <c r="N1380" s="2163" t="s">
        <v>3181</v>
      </c>
      <c r="O1380" s="2191">
        <v>0.08</v>
      </c>
      <c r="P1380" s="2191">
        <f>O1380*H1380</f>
        <v>3.7600000000000002</v>
      </c>
      <c r="Q1380" s="2191">
        <v>0</v>
      </c>
      <c r="R1380" s="2191">
        <f>Q1380*H1380</f>
        <v>0</v>
      </c>
      <c r="S1380" s="2191">
        <v>0</v>
      </c>
      <c r="T1380" s="2192">
        <f>S1380*H1380</f>
        <v>0</v>
      </c>
      <c r="AR1380" s="2193" t="s">
        <v>2894</v>
      </c>
      <c r="AT1380" s="2193" t="s">
        <v>3286</v>
      </c>
      <c r="AU1380" s="2193" t="s">
        <v>134</v>
      </c>
      <c r="AY1380" s="2056" t="s">
        <v>3285</v>
      </c>
      <c r="BE1380" s="2194">
        <f>IF(N1380="základní",J1380,0)</f>
        <v>0</v>
      </c>
      <c r="BF1380" s="2194">
        <f>IF(N1380="snížená",J1380,0)</f>
        <v>0</v>
      </c>
      <c r="BG1380" s="2194">
        <f>IF(N1380="zákl. přenesená",J1380,0)</f>
        <v>0</v>
      </c>
      <c r="BH1380" s="2194">
        <f>IF(N1380="sníž. přenesená",J1380,0)</f>
        <v>0</v>
      </c>
      <c r="BI1380" s="2194">
        <f>IF(N1380="nulová",J1380,0)</f>
        <v>0</v>
      </c>
      <c r="BJ1380" s="2056" t="s">
        <v>134</v>
      </c>
      <c r="BK1380" s="2194">
        <v>0</v>
      </c>
      <c r="BL1380" s="2056" t="s">
        <v>2894</v>
      </c>
      <c r="BM1380" s="2193" t="s">
        <v>11392</v>
      </c>
    </row>
    <row r="1381" spans="2:65" s="2209" customFormat="1">
      <c r="B1381" s="2210"/>
      <c r="D1381" s="2197" t="s">
        <v>3303</v>
      </c>
      <c r="E1381" s="2211" t="s">
        <v>3146</v>
      </c>
      <c r="F1381" s="2212" t="s">
        <v>5085</v>
      </c>
      <c r="H1381" s="2213">
        <v>47</v>
      </c>
      <c r="L1381" s="2210"/>
      <c r="M1381" s="2214"/>
      <c r="T1381" s="2215"/>
      <c r="AT1381" s="2211" t="s">
        <v>3303</v>
      </c>
      <c r="AU1381" s="2211" t="s">
        <v>134</v>
      </c>
      <c r="AV1381" s="2209" t="s">
        <v>134</v>
      </c>
      <c r="AW1381" s="2209" t="s">
        <v>3171</v>
      </c>
      <c r="AX1381" s="2209" t="s">
        <v>133</v>
      </c>
      <c r="AY1381" s="2211" t="s">
        <v>3285</v>
      </c>
    </row>
    <row r="1382" spans="2:65" s="2070" customFormat="1" ht="16.5" customHeight="1">
      <c r="B1382" s="2164"/>
      <c r="C1382" s="4614" t="s">
        <v>11393</v>
      </c>
      <c r="D1382" s="4614" t="s">
        <v>135</v>
      </c>
      <c r="E1382" s="4615" t="s">
        <v>11394</v>
      </c>
      <c r="F1382" s="4616" t="s">
        <v>11395</v>
      </c>
      <c r="G1382" s="4617" t="s">
        <v>155</v>
      </c>
      <c r="H1382" s="4618">
        <v>47</v>
      </c>
      <c r="I1382" s="5874" t="s">
        <v>11555</v>
      </c>
      <c r="J1382" s="5875"/>
      <c r="K1382" s="4616" t="s">
        <v>142</v>
      </c>
      <c r="L1382" s="2223"/>
      <c r="M1382" s="2224" t="s">
        <v>3146</v>
      </c>
      <c r="N1382" s="2225" t="s">
        <v>3181</v>
      </c>
      <c r="O1382" s="2191">
        <v>0</v>
      </c>
      <c r="P1382" s="2191">
        <f>O1382*H1382</f>
        <v>0</v>
      </c>
      <c r="Q1382" s="2191">
        <v>2.2000000000000001E-3</v>
      </c>
      <c r="R1382" s="2191">
        <f>Q1382*H1382</f>
        <v>0.10340000000000001</v>
      </c>
      <c r="S1382" s="2191">
        <v>0</v>
      </c>
      <c r="T1382" s="2192">
        <f>S1382*H1382</f>
        <v>0</v>
      </c>
      <c r="AR1382" s="2193" t="s">
        <v>3389</v>
      </c>
      <c r="AT1382" s="2193" t="s">
        <v>135</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v>0</v>
      </c>
      <c r="BL1382" s="2056" t="s">
        <v>2894</v>
      </c>
      <c r="BM1382" s="2193" t="s">
        <v>11396</v>
      </c>
    </row>
    <row r="1383" spans="2:65" s="2070" customFormat="1" ht="16.5" customHeight="1">
      <c r="B1383" s="2164"/>
      <c r="C1383" s="4608" t="s">
        <v>11397</v>
      </c>
      <c r="D1383" s="4608" t="s">
        <v>3286</v>
      </c>
      <c r="E1383" s="4609" t="s">
        <v>5583</v>
      </c>
      <c r="F1383" s="4610" t="s">
        <v>5584</v>
      </c>
      <c r="G1383" s="4611" t="s">
        <v>155</v>
      </c>
      <c r="H1383" s="4612">
        <v>24</v>
      </c>
      <c r="I1383" s="5874" t="s">
        <v>11555</v>
      </c>
      <c r="J1383" s="5875"/>
      <c r="K1383" s="4610" t="s">
        <v>3146</v>
      </c>
      <c r="L1383" s="2071"/>
      <c r="M1383" s="2190" t="s">
        <v>3146</v>
      </c>
      <c r="N1383" s="2163" t="s">
        <v>3181</v>
      </c>
      <c r="O1383" s="2191">
        <v>1.5449999999999999</v>
      </c>
      <c r="P1383" s="2191">
        <f>O1383*H1383</f>
        <v>37.08</v>
      </c>
      <c r="Q1383" s="2191">
        <v>0</v>
      </c>
      <c r="R1383" s="2191">
        <f>Q1383*H1383</f>
        <v>0</v>
      </c>
      <c r="S1383" s="2191">
        <v>0</v>
      </c>
      <c r="T1383" s="2192">
        <f>S1383*H1383</f>
        <v>0</v>
      </c>
      <c r="AR1383" s="2193" t="s">
        <v>2894</v>
      </c>
      <c r="AT1383" s="2193" t="s">
        <v>3286</v>
      </c>
      <c r="AU1383" s="2193" t="s">
        <v>134</v>
      </c>
      <c r="AY1383" s="2056" t="s">
        <v>3285</v>
      </c>
      <c r="BE1383" s="2194">
        <f>IF(N1383="základní",J1383,0)</f>
        <v>0</v>
      </c>
      <c r="BF1383" s="2194">
        <f>IF(N1383="snížená",J1383,0)</f>
        <v>0</v>
      </c>
      <c r="BG1383" s="2194">
        <f>IF(N1383="zákl. přenesená",J1383,0)</f>
        <v>0</v>
      </c>
      <c r="BH1383" s="2194">
        <f>IF(N1383="sníž. přenesená",J1383,0)</f>
        <v>0</v>
      </c>
      <c r="BI1383" s="2194">
        <f>IF(N1383="nulová",J1383,0)</f>
        <v>0</v>
      </c>
      <c r="BJ1383" s="2056" t="s">
        <v>134</v>
      </c>
      <c r="BK1383" s="2194">
        <v>0</v>
      </c>
      <c r="BL1383" s="2056" t="s">
        <v>2894</v>
      </c>
      <c r="BM1383" s="2193" t="s">
        <v>5585</v>
      </c>
    </row>
    <row r="1384" spans="2:65" s="2209" customFormat="1">
      <c r="B1384" s="2210"/>
      <c r="D1384" s="2197" t="s">
        <v>3303</v>
      </c>
      <c r="E1384" s="2211" t="s">
        <v>3146</v>
      </c>
      <c r="F1384" s="2212" t="s">
        <v>5315</v>
      </c>
      <c r="H1384" s="2213">
        <v>4</v>
      </c>
      <c r="L1384" s="2210"/>
      <c r="M1384" s="2214"/>
      <c r="T1384" s="2215"/>
      <c r="AT1384" s="2211" t="s">
        <v>3303</v>
      </c>
      <c r="AU1384" s="2211" t="s">
        <v>134</v>
      </c>
      <c r="AV1384" s="2209" t="s">
        <v>134</v>
      </c>
      <c r="AW1384" s="2209" t="s">
        <v>3171</v>
      </c>
      <c r="AX1384" s="2209" t="s">
        <v>3213</v>
      </c>
      <c r="AY1384" s="2211" t="s">
        <v>3285</v>
      </c>
    </row>
    <row r="1385" spans="2:65" s="2209" customFormat="1">
      <c r="B1385" s="2210"/>
      <c r="D1385" s="2197" t="s">
        <v>3303</v>
      </c>
      <c r="E1385" s="2211" t="s">
        <v>3146</v>
      </c>
      <c r="F1385" s="2212" t="s">
        <v>5586</v>
      </c>
      <c r="H1385" s="2213">
        <v>6</v>
      </c>
      <c r="L1385" s="2210"/>
      <c r="M1385" s="2214"/>
      <c r="T1385" s="2215"/>
      <c r="AT1385" s="2211" t="s">
        <v>3303</v>
      </c>
      <c r="AU1385" s="2211" t="s">
        <v>134</v>
      </c>
      <c r="AV1385" s="2209" t="s">
        <v>134</v>
      </c>
      <c r="AW1385" s="2209" t="s">
        <v>3171</v>
      </c>
      <c r="AX1385" s="2209" t="s">
        <v>3213</v>
      </c>
      <c r="AY1385" s="2211" t="s">
        <v>3285</v>
      </c>
    </row>
    <row r="1386" spans="2:65" s="2209" customFormat="1">
      <c r="B1386" s="2210"/>
      <c r="D1386" s="2197" t="s">
        <v>3303</v>
      </c>
      <c r="E1386" s="2211" t="s">
        <v>3146</v>
      </c>
      <c r="F1386" s="2212" t="s">
        <v>5586</v>
      </c>
      <c r="H1386" s="2213">
        <v>6</v>
      </c>
      <c r="L1386" s="2210"/>
      <c r="M1386" s="2214"/>
      <c r="T1386" s="2215"/>
      <c r="AT1386" s="2211" t="s">
        <v>3303</v>
      </c>
      <c r="AU1386" s="2211" t="s">
        <v>134</v>
      </c>
      <c r="AV1386" s="2209" t="s">
        <v>134</v>
      </c>
      <c r="AW1386" s="2209" t="s">
        <v>3171</v>
      </c>
      <c r="AX1386" s="2209" t="s">
        <v>3213</v>
      </c>
      <c r="AY1386" s="2211" t="s">
        <v>3285</v>
      </c>
    </row>
    <row r="1387" spans="2:65" s="2209" customFormat="1">
      <c r="B1387" s="2210"/>
      <c r="D1387" s="2197" t="s">
        <v>3303</v>
      </c>
      <c r="E1387" s="2211" t="s">
        <v>3146</v>
      </c>
      <c r="F1387" s="2212" t="s">
        <v>1363</v>
      </c>
      <c r="H1387" s="2213">
        <v>8</v>
      </c>
      <c r="L1387" s="2210"/>
      <c r="M1387" s="2214"/>
      <c r="T1387" s="2215"/>
      <c r="AT1387" s="2211" t="s">
        <v>3303</v>
      </c>
      <c r="AU1387" s="2211" t="s">
        <v>134</v>
      </c>
      <c r="AV1387" s="2209" t="s">
        <v>134</v>
      </c>
      <c r="AW1387" s="2209" t="s">
        <v>3171</v>
      </c>
      <c r="AX1387" s="2209" t="s">
        <v>3213</v>
      </c>
      <c r="AY1387" s="2211" t="s">
        <v>3285</v>
      </c>
    </row>
    <row r="1388" spans="2:65" s="2216" customFormat="1">
      <c r="B1388" s="2217"/>
      <c r="D1388" s="2197" t="s">
        <v>3303</v>
      </c>
      <c r="E1388" s="2218" t="s">
        <v>3146</v>
      </c>
      <c r="F1388" s="2219" t="s">
        <v>3306</v>
      </c>
      <c r="H1388" s="2220">
        <v>24</v>
      </c>
      <c r="L1388" s="2217"/>
      <c r="M1388" s="2221"/>
      <c r="T1388" s="2222"/>
      <c r="AT1388" s="2218" t="s">
        <v>3303</v>
      </c>
      <c r="AU1388" s="2218" t="s">
        <v>134</v>
      </c>
      <c r="AV1388" s="2216" t="s">
        <v>856</v>
      </c>
      <c r="AW1388" s="2216" t="s">
        <v>3171</v>
      </c>
      <c r="AX1388" s="2216" t="s">
        <v>133</v>
      </c>
      <c r="AY1388" s="2218" t="s">
        <v>3285</v>
      </c>
    </row>
    <row r="1389" spans="2:65" s="2070" customFormat="1" ht="16.5" customHeight="1">
      <c r="B1389" s="2164"/>
      <c r="C1389" s="4614" t="s">
        <v>11398</v>
      </c>
      <c r="D1389" s="4614" t="s">
        <v>135</v>
      </c>
      <c r="E1389" s="4615" t="s">
        <v>5587</v>
      </c>
      <c r="F1389" s="4616" t="s">
        <v>5588</v>
      </c>
      <c r="G1389" s="4617" t="s">
        <v>155</v>
      </c>
      <c r="H1389" s="4618">
        <v>24</v>
      </c>
      <c r="I1389" s="5874" t="s">
        <v>11555</v>
      </c>
      <c r="J1389" s="5875"/>
      <c r="K1389" s="4616" t="s">
        <v>3146</v>
      </c>
      <c r="L1389" s="2223"/>
      <c r="M1389" s="2224" t="s">
        <v>3146</v>
      </c>
      <c r="N1389" s="2225" t="s">
        <v>3181</v>
      </c>
      <c r="O1389" s="2191">
        <v>0</v>
      </c>
      <c r="P1389" s="2191">
        <f>O1389*H1389</f>
        <v>0</v>
      </c>
      <c r="Q1389" s="2191">
        <v>0</v>
      </c>
      <c r="R1389" s="2191">
        <f>Q1389*H1389</f>
        <v>0</v>
      </c>
      <c r="S1389" s="2191">
        <v>0</v>
      </c>
      <c r="T1389" s="2192">
        <f>S1389*H1389</f>
        <v>0</v>
      </c>
      <c r="AR1389" s="2193" t="s">
        <v>3389</v>
      </c>
      <c r="AT1389" s="2193" t="s">
        <v>135</v>
      </c>
      <c r="AU1389" s="2193" t="s">
        <v>134</v>
      </c>
      <c r="AY1389" s="2056" t="s">
        <v>3285</v>
      </c>
      <c r="BE1389" s="2194">
        <f>IF(N1389="základní",J1389,0)</f>
        <v>0</v>
      </c>
      <c r="BF1389" s="2194">
        <f>IF(N1389="snížená",J1389,0)</f>
        <v>0</v>
      </c>
      <c r="BG1389" s="2194">
        <f>IF(N1389="zákl. přenesená",J1389,0)</f>
        <v>0</v>
      </c>
      <c r="BH1389" s="2194">
        <f>IF(N1389="sníž. přenesená",J1389,0)</f>
        <v>0</v>
      </c>
      <c r="BI1389" s="2194">
        <f>IF(N1389="nulová",J1389,0)</f>
        <v>0</v>
      </c>
      <c r="BJ1389" s="2056" t="s">
        <v>134</v>
      </c>
      <c r="BK1389" s="2194">
        <v>0</v>
      </c>
      <c r="BL1389" s="2056" t="s">
        <v>2894</v>
      </c>
      <c r="BM1389" s="2193" t="s">
        <v>5589</v>
      </c>
    </row>
    <row r="1390" spans="2:65" s="2070" customFormat="1" ht="24.2" customHeight="1">
      <c r="B1390" s="2164"/>
      <c r="C1390" s="4608" t="s">
        <v>11399</v>
      </c>
      <c r="D1390" s="4608" t="s">
        <v>3286</v>
      </c>
      <c r="E1390" s="4609" t="s">
        <v>5591</v>
      </c>
      <c r="F1390" s="4610" t="s">
        <v>5592</v>
      </c>
      <c r="G1390" s="4611" t="s">
        <v>155</v>
      </c>
      <c r="H1390" s="4612">
        <v>1</v>
      </c>
      <c r="I1390" s="5874" t="s">
        <v>11555</v>
      </c>
      <c r="J1390" s="5875"/>
      <c r="K1390" s="4610" t="s">
        <v>142</v>
      </c>
      <c r="L1390" s="2071"/>
      <c r="M1390" s="2190" t="s">
        <v>3146</v>
      </c>
      <c r="N1390" s="2163" t="s">
        <v>3181</v>
      </c>
      <c r="O1390" s="2191">
        <v>10.055999999999999</v>
      </c>
      <c r="P1390" s="2191">
        <f>O1390*H1390</f>
        <v>10.055999999999999</v>
      </c>
      <c r="Q1390" s="2191">
        <v>1.1299999999999999E-3</v>
      </c>
      <c r="R1390" s="2191">
        <f>Q1390*H1390</f>
        <v>1.1299999999999999E-3</v>
      </c>
      <c r="S1390" s="2191">
        <v>0</v>
      </c>
      <c r="T1390" s="2192">
        <f>S1390*H1390</f>
        <v>0</v>
      </c>
      <c r="AR1390" s="2193" t="s">
        <v>2894</v>
      </c>
      <c r="AT1390" s="2193" t="s">
        <v>3286</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v>0</v>
      </c>
      <c r="BL1390" s="2056" t="s">
        <v>2894</v>
      </c>
      <c r="BM1390" s="2193" t="s">
        <v>5593</v>
      </c>
    </row>
    <row r="1391" spans="2:65" s="2195" customFormat="1">
      <c r="B1391" s="2196"/>
      <c r="D1391" s="2197" t="s">
        <v>3303</v>
      </c>
      <c r="E1391" s="2198" t="s">
        <v>3146</v>
      </c>
      <c r="F1391" s="2199" t="s">
        <v>5594</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1.75" customHeight="1">
      <c r="B1393" s="2164"/>
      <c r="C1393" s="4614" t="s">
        <v>11400</v>
      </c>
      <c r="D1393" s="4614" t="s">
        <v>135</v>
      </c>
      <c r="E1393" s="4615" t="s">
        <v>5596</v>
      </c>
      <c r="F1393" s="4616" t="s">
        <v>5597</v>
      </c>
      <c r="G1393" s="4617" t="s">
        <v>155</v>
      </c>
      <c r="H1393" s="4618">
        <v>1</v>
      </c>
      <c r="I1393" s="5874" t="s">
        <v>11555</v>
      </c>
      <c r="J1393" s="5875"/>
      <c r="K1393" s="4616" t="s">
        <v>3146</v>
      </c>
      <c r="L1393" s="2223"/>
      <c r="M1393" s="2224" t="s">
        <v>3146</v>
      </c>
      <c r="N1393" s="2225" t="s">
        <v>3181</v>
      </c>
      <c r="O1393" s="2191">
        <v>0</v>
      </c>
      <c r="P1393" s="2191">
        <f>O1393*H1393</f>
        <v>0</v>
      </c>
      <c r="Q1393" s="2191">
        <v>0</v>
      </c>
      <c r="R1393" s="2191">
        <f>Q1393*H1393</f>
        <v>0</v>
      </c>
      <c r="S1393" s="2191">
        <v>0</v>
      </c>
      <c r="T1393" s="2192">
        <f>S1393*H1393</f>
        <v>0</v>
      </c>
      <c r="AR1393" s="2193" t="s">
        <v>3389</v>
      </c>
      <c r="AT1393" s="2193" t="s">
        <v>135</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v>0</v>
      </c>
      <c r="BL1393" s="2056" t="s">
        <v>2894</v>
      </c>
      <c r="BM1393" s="2193" t="s">
        <v>5598</v>
      </c>
    </row>
    <row r="1394" spans="2:65" s="2070" customFormat="1" ht="24.2" customHeight="1">
      <c r="B1394" s="2164"/>
      <c r="C1394" s="4608" t="s">
        <v>11401</v>
      </c>
      <c r="D1394" s="4608" t="s">
        <v>3286</v>
      </c>
      <c r="E1394" s="4609" t="s">
        <v>5599</v>
      </c>
      <c r="F1394" s="4610" t="s">
        <v>5600</v>
      </c>
      <c r="G1394" s="4611" t="s">
        <v>155</v>
      </c>
      <c r="H1394" s="4612">
        <v>1</v>
      </c>
      <c r="I1394" s="4613"/>
      <c r="J1394" s="4613">
        <f>ROUND(I1394*H1394,2)</f>
        <v>0</v>
      </c>
      <c r="K1394" s="4610" t="s">
        <v>142</v>
      </c>
      <c r="L1394" s="2071"/>
      <c r="M1394" s="2190" t="s">
        <v>3146</v>
      </c>
      <c r="N1394" s="2163" t="s">
        <v>3181</v>
      </c>
      <c r="O1394" s="2191">
        <v>8.56</v>
      </c>
      <c r="P1394" s="2191">
        <f>O1394*H1394</f>
        <v>8.56</v>
      </c>
      <c r="Q1394" s="2191">
        <v>0</v>
      </c>
      <c r="R1394" s="2191">
        <f>Q1394*H1394</f>
        <v>0</v>
      </c>
      <c r="S1394" s="2191">
        <v>0</v>
      </c>
      <c r="T1394" s="2192">
        <f>S1394*H1394</f>
        <v>0</v>
      </c>
      <c r="AR1394" s="2193" t="s">
        <v>2894</v>
      </c>
      <c r="AT1394" s="2193" t="s">
        <v>3286</v>
      </c>
      <c r="AU1394" s="2193" t="s">
        <v>134</v>
      </c>
      <c r="AY1394" s="2056" t="s">
        <v>3285</v>
      </c>
      <c r="BE1394" s="2194">
        <f>IF(N1394="základní",J1394,0)</f>
        <v>0</v>
      </c>
      <c r="BF1394" s="2194">
        <f>IF(N1394="snížená",J1394,0)</f>
        <v>0</v>
      </c>
      <c r="BG1394" s="2194">
        <f>IF(N1394="zákl. přenesená",J1394,0)</f>
        <v>0</v>
      </c>
      <c r="BH1394" s="2194">
        <f>IF(N1394="sníž. přenesená",J1394,0)</f>
        <v>0</v>
      </c>
      <c r="BI1394" s="2194">
        <f>IF(N1394="nulová",J1394,0)</f>
        <v>0</v>
      </c>
      <c r="BJ1394" s="2056" t="s">
        <v>134</v>
      </c>
      <c r="BK1394" s="2194">
        <f>ROUND(I1394*H1394,2)</f>
        <v>0</v>
      </c>
      <c r="BL1394" s="2056" t="s">
        <v>2894</v>
      </c>
      <c r="BM1394" s="2193" t="s">
        <v>5601</v>
      </c>
    </row>
    <row r="1395" spans="2:65" s="2195" customFormat="1">
      <c r="B1395" s="2196"/>
      <c r="D1395" s="2197" t="s">
        <v>3303</v>
      </c>
      <c r="E1395" s="2198" t="s">
        <v>3146</v>
      </c>
      <c r="F1395" s="2199" t="s">
        <v>5602</v>
      </c>
      <c r="H1395" s="2198" t="s">
        <v>3146</v>
      </c>
      <c r="L1395" s="2196"/>
      <c r="M1395" s="2200"/>
      <c r="T1395" s="2201"/>
      <c r="AT1395" s="2198" t="s">
        <v>3303</v>
      </c>
      <c r="AU1395" s="2198" t="s">
        <v>134</v>
      </c>
      <c r="AV1395" s="2195" t="s">
        <v>133</v>
      </c>
      <c r="AW1395" s="2195" t="s">
        <v>3171</v>
      </c>
      <c r="AX1395" s="2195" t="s">
        <v>3213</v>
      </c>
      <c r="AY1395" s="2198" t="s">
        <v>3285</v>
      </c>
    </row>
    <row r="1396" spans="2:65" s="2209" customFormat="1">
      <c r="B1396" s="2210"/>
      <c r="D1396" s="2197" t="s">
        <v>3303</v>
      </c>
      <c r="E1396" s="2211" t="s">
        <v>3146</v>
      </c>
      <c r="F1396" s="2212" t="s">
        <v>133</v>
      </c>
      <c r="H1396" s="2213">
        <v>1</v>
      </c>
      <c r="L1396" s="2210"/>
      <c r="M1396" s="2214"/>
      <c r="T1396" s="2215"/>
      <c r="AT1396" s="2211" t="s">
        <v>3303</v>
      </c>
      <c r="AU1396" s="2211" t="s">
        <v>134</v>
      </c>
      <c r="AV1396" s="2209" t="s">
        <v>134</v>
      </c>
      <c r="AW1396" s="2209" t="s">
        <v>3171</v>
      </c>
      <c r="AX1396" s="2209" t="s">
        <v>3213</v>
      </c>
      <c r="AY1396" s="2211" t="s">
        <v>3285</v>
      </c>
    </row>
    <row r="1397" spans="2:65" s="2216" customFormat="1">
      <c r="B1397" s="2217"/>
      <c r="D1397" s="2197" t="s">
        <v>3303</v>
      </c>
      <c r="E1397" s="2218" t="s">
        <v>3146</v>
      </c>
      <c r="F1397" s="2219" t="s">
        <v>3306</v>
      </c>
      <c r="H1397" s="2220">
        <v>1</v>
      </c>
      <c r="L1397" s="2217"/>
      <c r="M1397" s="2221"/>
      <c r="T1397" s="2222"/>
      <c r="AT1397" s="2218" t="s">
        <v>3303</v>
      </c>
      <c r="AU1397" s="2218" t="s">
        <v>134</v>
      </c>
      <c r="AV1397" s="2216" t="s">
        <v>856</v>
      </c>
      <c r="AW1397" s="2216" t="s">
        <v>3171</v>
      </c>
      <c r="AX1397" s="2216" t="s">
        <v>133</v>
      </c>
      <c r="AY1397" s="2218" t="s">
        <v>3285</v>
      </c>
    </row>
    <row r="1398" spans="2:65" s="2070" customFormat="1" ht="24.2" customHeight="1">
      <c r="B1398" s="2164"/>
      <c r="C1398" s="4614" t="s">
        <v>11402</v>
      </c>
      <c r="D1398" s="4614" t="s">
        <v>135</v>
      </c>
      <c r="E1398" s="4615" t="s">
        <v>5603</v>
      </c>
      <c r="F1398" s="4616" t="s">
        <v>5604</v>
      </c>
      <c r="G1398" s="4617" t="s">
        <v>155</v>
      </c>
      <c r="H1398" s="4618">
        <v>1</v>
      </c>
      <c r="I1398" s="4619"/>
      <c r="J1398" s="4619">
        <f>ROUND(I1398*H1398,2)</f>
        <v>0</v>
      </c>
      <c r="K1398" s="4616" t="s">
        <v>3146</v>
      </c>
      <c r="L1398" s="2223"/>
      <c r="M1398" s="2224" t="s">
        <v>3146</v>
      </c>
      <c r="N1398" s="2225" t="s">
        <v>3181</v>
      </c>
      <c r="O1398" s="2191">
        <v>0</v>
      </c>
      <c r="P1398" s="2191">
        <f>O1398*H1398</f>
        <v>0</v>
      </c>
      <c r="Q1398" s="2191">
        <v>2.9000000000000001E-2</v>
      </c>
      <c r="R1398" s="2191">
        <f>Q1398*H1398</f>
        <v>2.9000000000000001E-2</v>
      </c>
      <c r="S1398" s="2191">
        <v>0</v>
      </c>
      <c r="T1398" s="2192">
        <f>S1398*H1398</f>
        <v>0</v>
      </c>
      <c r="AR1398" s="2193" t="s">
        <v>3389</v>
      </c>
      <c r="AT1398" s="2193" t="s">
        <v>135</v>
      </c>
      <c r="AU1398" s="2193" t="s">
        <v>134</v>
      </c>
      <c r="AY1398" s="2056" t="s">
        <v>3285</v>
      </c>
      <c r="BE1398" s="2194">
        <f>IF(N1398="základní",J1398,0)</f>
        <v>0</v>
      </c>
      <c r="BF1398" s="2194">
        <f>IF(N1398="snížená",J1398,0)</f>
        <v>0</v>
      </c>
      <c r="BG1398" s="2194">
        <f>IF(N1398="zákl. přenesená",J1398,0)</f>
        <v>0</v>
      </c>
      <c r="BH1398" s="2194">
        <f>IF(N1398="sníž. přenesená",J1398,0)</f>
        <v>0</v>
      </c>
      <c r="BI1398" s="2194">
        <f>IF(N1398="nulová",J1398,0)</f>
        <v>0</v>
      </c>
      <c r="BJ1398" s="2056" t="s">
        <v>134</v>
      </c>
      <c r="BK1398" s="2194">
        <f>ROUND(I1398*H1398,2)</f>
        <v>0</v>
      </c>
      <c r="BL1398" s="2056" t="s">
        <v>2894</v>
      </c>
      <c r="BM1398" s="2193" t="s">
        <v>5605</v>
      </c>
    </row>
    <row r="1399" spans="2:65" s="2195" customFormat="1">
      <c r="B1399" s="2196"/>
      <c r="D1399" s="2197" t="s">
        <v>3303</v>
      </c>
      <c r="E1399" s="2198" t="s">
        <v>3146</v>
      </c>
      <c r="F1399" s="2199" t="s">
        <v>5602</v>
      </c>
      <c r="H1399" s="2198" t="s">
        <v>3146</v>
      </c>
      <c r="L1399" s="2196"/>
      <c r="M1399" s="2200"/>
      <c r="T1399" s="2201"/>
      <c r="AT1399" s="2198" t="s">
        <v>3303</v>
      </c>
      <c r="AU1399" s="2198" t="s">
        <v>134</v>
      </c>
      <c r="AV1399" s="2195" t="s">
        <v>133</v>
      </c>
      <c r="AW1399" s="2195" t="s">
        <v>3171</v>
      </c>
      <c r="AX1399" s="2195" t="s">
        <v>3213</v>
      </c>
      <c r="AY1399" s="2198" t="s">
        <v>3285</v>
      </c>
    </row>
    <row r="1400" spans="2:65" s="2209" customFormat="1">
      <c r="B1400" s="2210"/>
      <c r="D1400" s="2197" t="s">
        <v>3303</v>
      </c>
      <c r="E1400" s="2211" t="s">
        <v>3146</v>
      </c>
      <c r="F1400" s="2212" t="s">
        <v>133</v>
      </c>
      <c r="H1400" s="2213">
        <v>1</v>
      </c>
      <c r="L1400" s="2210"/>
      <c r="M1400" s="2214"/>
      <c r="T1400" s="2215"/>
      <c r="AT1400" s="2211" t="s">
        <v>3303</v>
      </c>
      <c r="AU1400" s="2211" t="s">
        <v>134</v>
      </c>
      <c r="AV1400" s="2209" t="s">
        <v>134</v>
      </c>
      <c r="AW1400" s="2209" t="s">
        <v>3171</v>
      </c>
      <c r="AX1400" s="2209" t="s">
        <v>133</v>
      </c>
      <c r="AY1400" s="2211" t="s">
        <v>3285</v>
      </c>
    </row>
    <row r="1401" spans="2:65" s="2070" customFormat="1" ht="24.2" customHeight="1">
      <c r="B1401" s="2164"/>
      <c r="C1401" s="4608" t="s">
        <v>11403</v>
      </c>
      <c r="D1401" s="4608" t="s">
        <v>3286</v>
      </c>
      <c r="E1401" s="4609" t="s">
        <v>5606</v>
      </c>
      <c r="F1401" s="4610" t="s">
        <v>5607</v>
      </c>
      <c r="G1401" s="4611" t="s">
        <v>155</v>
      </c>
      <c r="H1401" s="4612">
        <v>3</v>
      </c>
      <c r="I1401" s="4613"/>
      <c r="J1401" s="4613">
        <f>ROUND(I1401*H1401,2)</f>
        <v>0</v>
      </c>
      <c r="K1401" s="4610" t="s">
        <v>142</v>
      </c>
      <c r="L1401" s="2071"/>
      <c r="M1401" s="2190" t="s">
        <v>3146</v>
      </c>
      <c r="N1401" s="2163" t="s">
        <v>3181</v>
      </c>
      <c r="O1401" s="2191">
        <v>10.275</v>
      </c>
      <c r="P1401" s="2191">
        <f>O1401*H1401</f>
        <v>30.825000000000003</v>
      </c>
      <c r="Q1401" s="2191">
        <v>0</v>
      </c>
      <c r="R1401" s="2191">
        <f>Q1401*H1401</f>
        <v>0</v>
      </c>
      <c r="S1401" s="2191">
        <v>0</v>
      </c>
      <c r="T1401" s="2192">
        <f>S1401*H1401</f>
        <v>0</v>
      </c>
      <c r="AR1401" s="2193" t="s">
        <v>2894</v>
      </c>
      <c r="AT1401" s="2193" t="s">
        <v>3286</v>
      </c>
      <c r="AU1401" s="2193" t="s">
        <v>134</v>
      </c>
      <c r="AY1401" s="2056" t="s">
        <v>3285</v>
      </c>
      <c r="BE1401" s="2194">
        <f>IF(N1401="základní",J1401,0)</f>
        <v>0</v>
      </c>
      <c r="BF1401" s="2194">
        <f>IF(N1401="snížená",J1401,0)</f>
        <v>0</v>
      </c>
      <c r="BG1401" s="2194">
        <f>IF(N1401="zákl. přenesená",J1401,0)</f>
        <v>0</v>
      </c>
      <c r="BH1401" s="2194">
        <f>IF(N1401="sníž. přenesená",J1401,0)</f>
        <v>0</v>
      </c>
      <c r="BI1401" s="2194">
        <f>IF(N1401="nulová",J1401,0)</f>
        <v>0</v>
      </c>
      <c r="BJ1401" s="2056" t="s">
        <v>134</v>
      </c>
      <c r="BK1401" s="2194">
        <f>ROUND(I1401*H1401,2)</f>
        <v>0</v>
      </c>
      <c r="BL1401" s="2056" t="s">
        <v>2894</v>
      </c>
      <c r="BM1401" s="2193" t="s">
        <v>5608</v>
      </c>
    </row>
    <row r="1402" spans="2:65" s="2195" customFormat="1">
      <c r="B1402" s="2196"/>
      <c r="D1402" s="2197" t="s">
        <v>3303</v>
      </c>
      <c r="E1402" s="2198" t="s">
        <v>3146</v>
      </c>
      <c r="F1402" s="2199" t="s">
        <v>5609</v>
      </c>
      <c r="H1402" s="2198" t="s">
        <v>3146</v>
      </c>
      <c r="L1402" s="2196"/>
      <c r="M1402" s="2200"/>
      <c r="T1402" s="2201"/>
      <c r="AT1402" s="2198" t="s">
        <v>3303</v>
      </c>
      <c r="AU1402" s="2198" t="s">
        <v>134</v>
      </c>
      <c r="AV1402" s="2195" t="s">
        <v>133</v>
      </c>
      <c r="AW1402" s="2195" t="s">
        <v>3171</v>
      </c>
      <c r="AX1402" s="2195" t="s">
        <v>3213</v>
      </c>
      <c r="AY1402" s="2198" t="s">
        <v>3285</v>
      </c>
    </row>
    <row r="1403" spans="2:65" s="2209" customFormat="1">
      <c r="B1403" s="2210"/>
      <c r="D1403" s="2197" t="s">
        <v>3303</v>
      </c>
      <c r="E1403" s="2211" t="s">
        <v>3146</v>
      </c>
      <c r="F1403" s="2212" t="s">
        <v>5610</v>
      </c>
      <c r="H1403" s="2213">
        <v>3</v>
      </c>
      <c r="L1403" s="2210"/>
      <c r="M1403" s="2214"/>
      <c r="T1403" s="2215"/>
      <c r="AT1403" s="2211" t="s">
        <v>3303</v>
      </c>
      <c r="AU1403" s="2211" t="s">
        <v>134</v>
      </c>
      <c r="AV1403" s="2209" t="s">
        <v>134</v>
      </c>
      <c r="AW1403" s="2209" t="s">
        <v>3171</v>
      </c>
      <c r="AX1403" s="2209" t="s">
        <v>133</v>
      </c>
      <c r="AY1403" s="2211" t="s">
        <v>3285</v>
      </c>
    </row>
    <row r="1404" spans="2:65" s="2070" customFormat="1" ht="24.2" customHeight="1">
      <c r="B1404" s="2164"/>
      <c r="C1404" s="4614" t="s">
        <v>11404</v>
      </c>
      <c r="D1404" s="4614" t="s">
        <v>135</v>
      </c>
      <c r="E1404" s="4615" t="s">
        <v>5611</v>
      </c>
      <c r="F1404" s="4616" t="s">
        <v>5612</v>
      </c>
      <c r="G1404" s="4617" t="s">
        <v>155</v>
      </c>
      <c r="H1404" s="4618">
        <v>3</v>
      </c>
      <c r="I1404" s="4619"/>
      <c r="J1404" s="4619">
        <f>ROUND(I1404*H1404,2)</f>
        <v>0</v>
      </c>
      <c r="K1404" s="4616" t="s">
        <v>3146</v>
      </c>
      <c r="L1404" s="2223"/>
      <c r="M1404" s="2224" t="s">
        <v>3146</v>
      </c>
      <c r="N1404" s="2225" t="s">
        <v>3181</v>
      </c>
      <c r="O1404" s="2191">
        <v>0</v>
      </c>
      <c r="P1404" s="2191">
        <f>O1404*H1404</f>
        <v>0</v>
      </c>
      <c r="Q1404" s="2191">
        <v>8.5999999999999993E-2</v>
      </c>
      <c r="R1404" s="2191">
        <f>Q1404*H1404</f>
        <v>0.25800000000000001</v>
      </c>
      <c r="S1404" s="2191">
        <v>0</v>
      </c>
      <c r="T1404" s="2192">
        <f>S1404*H1404</f>
        <v>0</v>
      </c>
      <c r="AR1404" s="2193" t="s">
        <v>3389</v>
      </c>
      <c r="AT1404" s="2193" t="s">
        <v>135</v>
      </c>
      <c r="AU1404" s="2193" t="s">
        <v>134</v>
      </c>
      <c r="AY1404" s="2056" t="s">
        <v>3285</v>
      </c>
      <c r="BE1404" s="2194">
        <f>IF(N1404="základní",J1404,0)</f>
        <v>0</v>
      </c>
      <c r="BF1404" s="2194">
        <f>IF(N1404="snížená",J1404,0)</f>
        <v>0</v>
      </c>
      <c r="BG1404" s="2194">
        <f>IF(N1404="zákl. přenesená",J1404,0)</f>
        <v>0</v>
      </c>
      <c r="BH1404" s="2194">
        <f>IF(N1404="sníž. přenesená",J1404,0)</f>
        <v>0</v>
      </c>
      <c r="BI1404" s="2194">
        <f>IF(N1404="nulová",J1404,0)</f>
        <v>0</v>
      </c>
      <c r="BJ1404" s="2056" t="s">
        <v>134</v>
      </c>
      <c r="BK1404" s="2194">
        <f>ROUND(I1404*H1404,2)</f>
        <v>0</v>
      </c>
      <c r="BL1404" s="2056" t="s">
        <v>2894</v>
      </c>
      <c r="BM1404" s="2193" t="s">
        <v>5613</v>
      </c>
    </row>
    <row r="1405" spans="2:65" s="2195" customFormat="1">
      <c r="B1405" s="2196"/>
      <c r="D1405" s="2197" t="s">
        <v>3303</v>
      </c>
      <c r="E1405" s="2198" t="s">
        <v>3146</v>
      </c>
      <c r="F1405" s="2199" t="s">
        <v>5614</v>
      </c>
      <c r="H1405" s="2198" t="s">
        <v>3146</v>
      </c>
      <c r="L1405" s="2196"/>
      <c r="M1405" s="2200"/>
      <c r="T1405" s="2201"/>
      <c r="AT1405" s="2198" t="s">
        <v>3303</v>
      </c>
      <c r="AU1405" s="2198" t="s">
        <v>134</v>
      </c>
      <c r="AV1405" s="2195" t="s">
        <v>133</v>
      </c>
      <c r="AW1405" s="2195" t="s">
        <v>3171</v>
      </c>
      <c r="AX1405" s="2195" t="s">
        <v>3213</v>
      </c>
      <c r="AY1405" s="2198" t="s">
        <v>3285</v>
      </c>
    </row>
    <row r="1406" spans="2:65" s="2209" customFormat="1">
      <c r="B1406" s="2210"/>
      <c r="D1406" s="2197" t="s">
        <v>3303</v>
      </c>
      <c r="E1406" s="2211" t="s">
        <v>3146</v>
      </c>
      <c r="F1406" s="2212" t="s">
        <v>5610</v>
      </c>
      <c r="H1406" s="2213">
        <v>3</v>
      </c>
      <c r="L1406" s="2210"/>
      <c r="M1406" s="2214"/>
      <c r="T1406" s="2215"/>
      <c r="AT1406" s="2211" t="s">
        <v>3303</v>
      </c>
      <c r="AU1406" s="2211" t="s">
        <v>134</v>
      </c>
      <c r="AV1406" s="2209" t="s">
        <v>134</v>
      </c>
      <c r="AW1406" s="2209" t="s">
        <v>3171</v>
      </c>
      <c r="AX1406" s="2209" t="s">
        <v>3213</v>
      </c>
      <c r="AY1406" s="2211" t="s">
        <v>3285</v>
      </c>
    </row>
    <row r="1407" spans="2:65" s="2216" customFormat="1">
      <c r="B1407" s="2217"/>
      <c r="D1407" s="2197" t="s">
        <v>3303</v>
      </c>
      <c r="E1407" s="2218" t="s">
        <v>3146</v>
      </c>
      <c r="F1407" s="2219" t="s">
        <v>3306</v>
      </c>
      <c r="H1407" s="2220">
        <v>3</v>
      </c>
      <c r="L1407" s="2217"/>
      <c r="M1407" s="2221"/>
      <c r="T1407" s="2222"/>
      <c r="AT1407" s="2218" t="s">
        <v>3303</v>
      </c>
      <c r="AU1407" s="2218" t="s">
        <v>134</v>
      </c>
      <c r="AV1407" s="2216" t="s">
        <v>856</v>
      </c>
      <c r="AW1407" s="2216" t="s">
        <v>3171</v>
      </c>
      <c r="AX1407" s="2216" t="s">
        <v>133</v>
      </c>
      <c r="AY1407" s="2218" t="s">
        <v>3285</v>
      </c>
    </row>
    <row r="1408" spans="2:65" s="2070" customFormat="1" ht="24.2" customHeight="1">
      <c r="B1408" s="2164"/>
      <c r="C1408" s="4608" t="s">
        <v>11405</v>
      </c>
      <c r="D1408" s="4608" t="s">
        <v>3286</v>
      </c>
      <c r="E1408" s="4609" t="s">
        <v>5615</v>
      </c>
      <c r="F1408" s="4610" t="s">
        <v>5616</v>
      </c>
      <c r="G1408" s="4611" t="s">
        <v>155</v>
      </c>
      <c r="H1408" s="4612">
        <v>1</v>
      </c>
      <c r="I1408" s="4613"/>
      <c r="J1408" s="4613">
        <f>ROUND(I1408*H1408,2)</f>
        <v>0</v>
      </c>
      <c r="K1408" s="4610" t="s">
        <v>142</v>
      </c>
      <c r="L1408" s="2071"/>
      <c r="M1408" s="2190" t="s">
        <v>3146</v>
      </c>
      <c r="N1408" s="2163" t="s">
        <v>3181</v>
      </c>
      <c r="O1408" s="2191">
        <v>11.816000000000001</v>
      </c>
      <c r="P1408" s="2191">
        <f>O1408*H1408</f>
        <v>11.816000000000001</v>
      </c>
      <c r="Q1408" s="2191">
        <v>0</v>
      </c>
      <c r="R1408" s="2191">
        <f>Q1408*H1408</f>
        <v>0</v>
      </c>
      <c r="S1408" s="2191">
        <v>0</v>
      </c>
      <c r="T1408" s="2192">
        <f>S1408*H1408</f>
        <v>0</v>
      </c>
      <c r="AR1408" s="2193" t="s">
        <v>2894</v>
      </c>
      <c r="AT1408" s="2193" t="s">
        <v>3286</v>
      </c>
      <c r="AU1408" s="2193" t="s">
        <v>134</v>
      </c>
      <c r="AY1408" s="2056" t="s">
        <v>3285</v>
      </c>
      <c r="BE1408" s="2194">
        <f>IF(N1408="základní",J1408,0)</f>
        <v>0</v>
      </c>
      <c r="BF1408" s="2194">
        <f>IF(N1408="snížená",J1408,0)</f>
        <v>0</v>
      </c>
      <c r="BG1408" s="2194">
        <f>IF(N1408="zákl. přenesená",J1408,0)</f>
        <v>0</v>
      </c>
      <c r="BH1408" s="2194">
        <f>IF(N1408="sníž. přenesená",J1408,0)</f>
        <v>0</v>
      </c>
      <c r="BI1408" s="2194">
        <f>IF(N1408="nulová",J1408,0)</f>
        <v>0</v>
      </c>
      <c r="BJ1408" s="2056" t="s">
        <v>134</v>
      </c>
      <c r="BK1408" s="2194">
        <f>ROUND(I1408*H1408,2)</f>
        <v>0</v>
      </c>
      <c r="BL1408" s="2056" t="s">
        <v>2894</v>
      </c>
      <c r="BM1408" s="2193" t="s">
        <v>5617</v>
      </c>
    </row>
    <row r="1409" spans="2:65" s="2195" customFormat="1">
      <c r="B1409" s="2196"/>
      <c r="D1409" s="2197" t="s">
        <v>3303</v>
      </c>
      <c r="E1409" s="2198" t="s">
        <v>3146</v>
      </c>
      <c r="F1409" s="2199" t="s">
        <v>5618</v>
      </c>
      <c r="H1409" s="2198" t="s">
        <v>3146</v>
      </c>
      <c r="L1409" s="2196"/>
      <c r="M1409" s="2200"/>
      <c r="T1409" s="2201"/>
      <c r="AT1409" s="2198" t="s">
        <v>3303</v>
      </c>
      <c r="AU1409" s="2198" t="s">
        <v>134</v>
      </c>
      <c r="AV1409" s="2195" t="s">
        <v>133</v>
      </c>
      <c r="AW1409" s="2195" t="s">
        <v>3171</v>
      </c>
      <c r="AX1409" s="2195" t="s">
        <v>3213</v>
      </c>
      <c r="AY1409" s="2198" t="s">
        <v>3285</v>
      </c>
    </row>
    <row r="1410" spans="2:65" s="2209" customFormat="1">
      <c r="B1410" s="2210"/>
      <c r="D1410" s="2197" t="s">
        <v>3303</v>
      </c>
      <c r="E1410" s="2211" t="s">
        <v>3146</v>
      </c>
      <c r="F1410" s="2212" t="s">
        <v>133</v>
      </c>
      <c r="H1410" s="2213">
        <v>1</v>
      </c>
      <c r="L1410" s="2210"/>
      <c r="M1410" s="2214"/>
      <c r="T1410" s="2215"/>
      <c r="AT1410" s="2211" t="s">
        <v>3303</v>
      </c>
      <c r="AU1410" s="2211" t="s">
        <v>134</v>
      </c>
      <c r="AV1410" s="2209" t="s">
        <v>134</v>
      </c>
      <c r="AW1410" s="2209" t="s">
        <v>3171</v>
      </c>
      <c r="AX1410" s="2209" t="s">
        <v>133</v>
      </c>
      <c r="AY1410" s="2211" t="s">
        <v>3285</v>
      </c>
    </row>
    <row r="1411" spans="2:65" s="2070" customFormat="1" ht="24.2" customHeight="1">
      <c r="B1411" s="2164"/>
      <c r="C1411" s="4614" t="s">
        <v>11406</v>
      </c>
      <c r="D1411" s="4614" t="s">
        <v>135</v>
      </c>
      <c r="E1411" s="4615" t="s">
        <v>5619</v>
      </c>
      <c r="F1411" s="4616" t="s">
        <v>5620</v>
      </c>
      <c r="G1411" s="4617" t="s">
        <v>155</v>
      </c>
      <c r="H1411" s="4618">
        <v>1</v>
      </c>
      <c r="I1411" s="4619"/>
      <c r="J1411" s="4619">
        <f>ROUND(I1411*H1411,2)</f>
        <v>0</v>
      </c>
      <c r="K1411" s="4616" t="s">
        <v>3146</v>
      </c>
      <c r="L1411" s="2223"/>
      <c r="M1411" s="2224" t="s">
        <v>3146</v>
      </c>
      <c r="N1411" s="2225" t="s">
        <v>3181</v>
      </c>
      <c r="O1411" s="2191">
        <v>0</v>
      </c>
      <c r="P1411" s="2191">
        <f>O1411*H1411</f>
        <v>0</v>
      </c>
      <c r="Q1411" s="2191">
        <v>8.5999999999999993E-2</v>
      </c>
      <c r="R1411" s="2191">
        <f>Q1411*H1411</f>
        <v>8.5999999999999993E-2</v>
      </c>
      <c r="S1411" s="2191">
        <v>0</v>
      </c>
      <c r="T1411" s="2192">
        <f>S1411*H1411</f>
        <v>0</v>
      </c>
      <c r="AR1411" s="2193" t="s">
        <v>3389</v>
      </c>
      <c r="AT1411" s="2193" t="s">
        <v>135</v>
      </c>
      <c r="AU1411" s="2193" t="s">
        <v>134</v>
      </c>
      <c r="AY1411" s="2056" t="s">
        <v>3285</v>
      </c>
      <c r="BE1411" s="2194">
        <f>IF(N1411="základní",J1411,0)</f>
        <v>0</v>
      </c>
      <c r="BF1411" s="2194">
        <f>IF(N1411="snížená",J1411,0)</f>
        <v>0</v>
      </c>
      <c r="BG1411" s="2194">
        <f>IF(N1411="zákl. přenesená",J1411,0)</f>
        <v>0</v>
      </c>
      <c r="BH1411" s="2194">
        <f>IF(N1411="sníž. přenesená",J1411,0)</f>
        <v>0</v>
      </c>
      <c r="BI1411" s="2194">
        <f>IF(N1411="nulová",J1411,0)</f>
        <v>0</v>
      </c>
      <c r="BJ1411" s="2056" t="s">
        <v>134</v>
      </c>
      <c r="BK1411" s="2194">
        <f>ROUND(I1411*H1411,2)</f>
        <v>0</v>
      </c>
      <c r="BL1411" s="2056" t="s">
        <v>2894</v>
      </c>
      <c r="BM1411" s="2193" t="s">
        <v>5621</v>
      </c>
    </row>
    <row r="1412" spans="2:65" s="2195" customFormat="1">
      <c r="B1412" s="2196"/>
      <c r="D1412" s="2197" t="s">
        <v>3303</v>
      </c>
      <c r="E1412" s="2198" t="s">
        <v>3146</v>
      </c>
      <c r="F1412" s="2199" t="s">
        <v>5622</v>
      </c>
      <c r="H1412" s="2198" t="s">
        <v>3146</v>
      </c>
      <c r="L1412" s="2196"/>
      <c r="M1412" s="2200"/>
      <c r="T1412" s="2201"/>
      <c r="AT1412" s="2198" t="s">
        <v>3303</v>
      </c>
      <c r="AU1412" s="2198" t="s">
        <v>134</v>
      </c>
      <c r="AV1412" s="2195" t="s">
        <v>133</v>
      </c>
      <c r="AW1412" s="2195" t="s">
        <v>3171</v>
      </c>
      <c r="AX1412" s="2195" t="s">
        <v>3213</v>
      </c>
      <c r="AY1412" s="2198" t="s">
        <v>3285</v>
      </c>
    </row>
    <row r="1413" spans="2:65" s="2209" customFormat="1">
      <c r="B1413" s="2210"/>
      <c r="D1413" s="2197" t="s">
        <v>3303</v>
      </c>
      <c r="E1413" s="2211" t="s">
        <v>3146</v>
      </c>
      <c r="F1413" s="2212" t="s">
        <v>133</v>
      </c>
      <c r="H1413" s="2213">
        <v>1</v>
      </c>
      <c r="L1413" s="2210"/>
      <c r="M1413" s="2214"/>
      <c r="T1413" s="2215"/>
      <c r="AT1413" s="2211" t="s">
        <v>3303</v>
      </c>
      <c r="AU1413" s="2211" t="s">
        <v>134</v>
      </c>
      <c r="AV1413" s="2209" t="s">
        <v>134</v>
      </c>
      <c r="AW1413" s="2209" t="s">
        <v>3171</v>
      </c>
      <c r="AX1413" s="2209" t="s">
        <v>133</v>
      </c>
      <c r="AY1413" s="2211" t="s">
        <v>3285</v>
      </c>
    </row>
    <row r="1414" spans="2:65" s="2070" customFormat="1" ht="16.5" customHeight="1">
      <c r="B1414" s="2164"/>
      <c r="C1414" s="5561" t="s">
        <v>11407</v>
      </c>
      <c r="D1414" s="4608" t="s">
        <v>3286</v>
      </c>
      <c r="E1414" s="4609" t="s">
        <v>5623</v>
      </c>
      <c r="F1414" s="4610" t="s">
        <v>5624</v>
      </c>
      <c r="G1414" s="4611" t="s">
        <v>611</v>
      </c>
      <c r="H1414" s="4612">
        <v>36.9</v>
      </c>
      <c r="I1414" s="5874" t="s">
        <v>11555</v>
      </c>
      <c r="J1414" s="5875"/>
      <c r="K1414" s="4610" t="s">
        <v>142</v>
      </c>
      <c r="L1414" s="2071"/>
      <c r="M1414" s="2190" t="s">
        <v>3146</v>
      </c>
      <c r="N1414" s="2163" t="s">
        <v>3181</v>
      </c>
      <c r="O1414" s="2191">
        <v>1.246</v>
      </c>
      <c r="P1414" s="2191">
        <f>O1414*H1414</f>
        <v>45.977399999999996</v>
      </c>
      <c r="Q1414" s="2191">
        <v>2.0000000000000001E-4</v>
      </c>
      <c r="R1414" s="2191">
        <f>Q1414*H1414</f>
        <v>7.3800000000000003E-3</v>
      </c>
      <c r="S1414" s="2191">
        <v>0</v>
      </c>
      <c r="T1414" s="2192">
        <f>S1414*H1414</f>
        <v>0</v>
      </c>
      <c r="AR1414" s="2193" t="s">
        <v>2894</v>
      </c>
      <c r="AT1414" s="2193" t="s">
        <v>3286</v>
      </c>
      <c r="AU1414" s="2193" t="s">
        <v>134</v>
      </c>
      <c r="AY1414" s="2056" t="s">
        <v>3285</v>
      </c>
      <c r="BE1414" s="2194">
        <f>IF(N1414="základní",J1414,0)</f>
        <v>0</v>
      </c>
      <c r="BF1414" s="2194">
        <f>IF(N1414="snížená",J1414,0)</f>
        <v>0</v>
      </c>
      <c r="BG1414" s="2194">
        <f>IF(N1414="zákl. přenesená",J1414,0)</f>
        <v>0</v>
      </c>
      <c r="BH1414" s="2194">
        <f>IF(N1414="sníž. přenesená",J1414,0)</f>
        <v>0</v>
      </c>
      <c r="BI1414" s="2194">
        <f>IF(N1414="nulová",J1414,0)</f>
        <v>0</v>
      </c>
      <c r="BJ1414" s="2056" t="s">
        <v>134</v>
      </c>
      <c r="BK1414" s="2194">
        <v>0</v>
      </c>
      <c r="BL1414" s="2056" t="s">
        <v>2894</v>
      </c>
      <c r="BM1414" s="2193" t="s">
        <v>5625</v>
      </c>
    </row>
    <row r="1415" spans="2:65" s="2195" customFormat="1">
      <c r="B1415" s="2196"/>
      <c r="C1415" s="5574"/>
      <c r="D1415" s="2197" t="s">
        <v>3303</v>
      </c>
      <c r="E1415" s="2198" t="s">
        <v>3146</v>
      </c>
      <c r="F1415" s="2199" t="s">
        <v>5523</v>
      </c>
      <c r="H1415" s="2198" t="s">
        <v>3146</v>
      </c>
      <c r="L1415" s="2196"/>
      <c r="M1415" s="2200"/>
      <c r="T1415" s="2201"/>
      <c r="AT1415" s="2198" t="s">
        <v>3303</v>
      </c>
      <c r="AU1415" s="2198" t="s">
        <v>134</v>
      </c>
      <c r="AV1415" s="2195" t="s">
        <v>133</v>
      </c>
      <c r="AW1415" s="2195" t="s">
        <v>3171</v>
      </c>
      <c r="AX1415" s="2195" t="s">
        <v>3213</v>
      </c>
      <c r="AY1415" s="2198" t="s">
        <v>3285</v>
      </c>
    </row>
    <row r="1416" spans="2:65" s="2209" customFormat="1">
      <c r="B1416" s="2210"/>
      <c r="C1416" s="5574"/>
      <c r="D1416" s="2197" t="s">
        <v>3303</v>
      </c>
      <c r="E1416" s="2211" t="s">
        <v>3146</v>
      </c>
      <c r="F1416" s="2212" t="s">
        <v>5626</v>
      </c>
      <c r="H1416" s="2213">
        <v>6.5</v>
      </c>
      <c r="L1416" s="2210"/>
      <c r="M1416" s="2214"/>
      <c r="T1416" s="2215"/>
      <c r="AT1416" s="2211" t="s">
        <v>3303</v>
      </c>
      <c r="AU1416" s="2211" t="s">
        <v>134</v>
      </c>
      <c r="AV1416" s="2209" t="s">
        <v>134</v>
      </c>
      <c r="AW1416" s="2209" t="s">
        <v>3171</v>
      </c>
      <c r="AX1416" s="2209" t="s">
        <v>3213</v>
      </c>
      <c r="AY1416" s="2211" t="s">
        <v>3285</v>
      </c>
    </row>
    <row r="1417" spans="2:65" s="2209" customFormat="1">
      <c r="B1417" s="2210"/>
      <c r="C1417" s="5574"/>
      <c r="D1417" s="2197" t="s">
        <v>3303</v>
      </c>
      <c r="E1417" s="2211" t="s">
        <v>3146</v>
      </c>
      <c r="F1417" s="2212" t="s">
        <v>5627</v>
      </c>
      <c r="H1417" s="2213">
        <v>-2.4</v>
      </c>
      <c r="L1417" s="2210"/>
      <c r="M1417" s="2214"/>
      <c r="T1417" s="2215"/>
      <c r="AT1417" s="2211" t="s">
        <v>3303</v>
      </c>
      <c r="AU1417" s="2211" t="s">
        <v>134</v>
      </c>
      <c r="AV1417" s="2209" t="s">
        <v>134</v>
      </c>
      <c r="AW1417" s="2209" t="s">
        <v>3171</v>
      </c>
      <c r="AX1417" s="2209" t="s">
        <v>3213</v>
      </c>
      <c r="AY1417" s="2211" t="s">
        <v>3285</v>
      </c>
    </row>
    <row r="1418" spans="2:65" s="2202" customFormat="1">
      <c r="B1418" s="2203"/>
      <c r="C1418" s="5574"/>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65" s="2195" customFormat="1">
      <c r="B1419" s="2196"/>
      <c r="C1419" s="5574"/>
      <c r="D1419" s="2197" t="s">
        <v>3303</v>
      </c>
      <c r="E1419" s="2198" t="s">
        <v>3146</v>
      </c>
      <c r="F1419" s="2199" t="s">
        <v>5628</v>
      </c>
      <c r="H1419" s="2198" t="s">
        <v>3146</v>
      </c>
      <c r="L1419" s="2196"/>
      <c r="M1419" s="2200"/>
      <c r="T1419" s="2201"/>
      <c r="AT1419" s="2198" t="s">
        <v>3303</v>
      </c>
      <c r="AU1419" s="2198" t="s">
        <v>134</v>
      </c>
      <c r="AV1419" s="2195" t="s">
        <v>133</v>
      </c>
      <c r="AW1419" s="2195" t="s">
        <v>3171</v>
      </c>
      <c r="AX1419" s="2195" t="s">
        <v>3213</v>
      </c>
      <c r="AY1419" s="2198" t="s">
        <v>3285</v>
      </c>
    </row>
    <row r="1420" spans="2:65" s="2209" customFormat="1">
      <c r="B1420" s="2210"/>
      <c r="C1420" s="5574"/>
      <c r="D1420" s="2197" t="s">
        <v>3303</v>
      </c>
      <c r="E1420" s="2211" t="s">
        <v>3146</v>
      </c>
      <c r="F1420" s="2212" t="s">
        <v>5626</v>
      </c>
      <c r="H1420" s="2213">
        <v>6.5</v>
      </c>
      <c r="L1420" s="2210"/>
      <c r="M1420" s="2214"/>
      <c r="T1420" s="2215"/>
      <c r="AT1420" s="2211" t="s">
        <v>3303</v>
      </c>
      <c r="AU1420" s="2211" t="s">
        <v>134</v>
      </c>
      <c r="AV1420" s="2209" t="s">
        <v>134</v>
      </c>
      <c r="AW1420" s="2209" t="s">
        <v>3171</v>
      </c>
      <c r="AX1420" s="2209" t="s">
        <v>3213</v>
      </c>
      <c r="AY1420" s="2211" t="s">
        <v>3285</v>
      </c>
    </row>
    <row r="1421" spans="2:65" s="2209" customFormat="1">
      <c r="B1421" s="2210"/>
      <c r="C1421" s="5574"/>
      <c r="D1421" s="2197" t="s">
        <v>3303</v>
      </c>
      <c r="E1421" s="2211" t="s">
        <v>3146</v>
      </c>
      <c r="F1421" s="2212" t="s">
        <v>5627</v>
      </c>
      <c r="H1421" s="2213">
        <v>-2.4</v>
      </c>
      <c r="L1421" s="2210"/>
      <c r="M1421" s="2214"/>
      <c r="T1421" s="2215"/>
      <c r="AT1421" s="2211" t="s">
        <v>3303</v>
      </c>
      <c r="AU1421" s="2211" t="s">
        <v>134</v>
      </c>
      <c r="AV1421" s="2209" t="s">
        <v>134</v>
      </c>
      <c r="AW1421" s="2209" t="s">
        <v>3171</v>
      </c>
      <c r="AX1421" s="2209" t="s">
        <v>3213</v>
      </c>
      <c r="AY1421" s="2211" t="s">
        <v>3285</v>
      </c>
    </row>
    <row r="1422" spans="2:65" s="2202" customFormat="1">
      <c r="B1422" s="2203"/>
      <c r="C1422" s="5574"/>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65" s="2195" customFormat="1">
      <c r="B1423" s="2196"/>
      <c r="C1423" s="5574"/>
      <c r="D1423" s="2197" t="s">
        <v>3303</v>
      </c>
      <c r="E1423" s="2198" t="s">
        <v>3146</v>
      </c>
      <c r="F1423" s="2199" t="s">
        <v>5526</v>
      </c>
      <c r="H1423" s="2198" t="s">
        <v>3146</v>
      </c>
      <c r="L1423" s="2196"/>
      <c r="M1423" s="2200"/>
      <c r="T1423" s="2201"/>
      <c r="AT1423" s="2198" t="s">
        <v>3303</v>
      </c>
      <c r="AU1423" s="2198" t="s">
        <v>134</v>
      </c>
      <c r="AV1423" s="2195" t="s">
        <v>133</v>
      </c>
      <c r="AW1423" s="2195" t="s">
        <v>3171</v>
      </c>
      <c r="AX1423" s="2195" t="s">
        <v>3213</v>
      </c>
      <c r="AY1423" s="2198" t="s">
        <v>3285</v>
      </c>
    </row>
    <row r="1424" spans="2:65" s="2209" customFormat="1">
      <c r="B1424" s="2210"/>
      <c r="C1424" s="5574"/>
      <c r="D1424" s="2197" t="s">
        <v>3303</v>
      </c>
      <c r="E1424" s="2211" t="s">
        <v>3146</v>
      </c>
      <c r="F1424" s="2212" t="s">
        <v>5626</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C1425" s="5574"/>
      <c r="D1425" s="2197" t="s">
        <v>3303</v>
      </c>
      <c r="E1425" s="2211" t="s">
        <v>3146</v>
      </c>
      <c r="F1425" s="2212" t="s">
        <v>5627</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C1426" s="5574"/>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C1427" s="5574"/>
      <c r="D1427" s="2197" t="s">
        <v>3303</v>
      </c>
      <c r="E1427" s="2198" t="s">
        <v>3146</v>
      </c>
      <c r="F1427" s="2199" t="s">
        <v>5527</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C1428" s="5574"/>
      <c r="D1428" s="2197" t="s">
        <v>3303</v>
      </c>
      <c r="E1428" s="2211" t="s">
        <v>3146</v>
      </c>
      <c r="F1428" s="2212" t="s">
        <v>5626</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C1429" s="5574"/>
      <c r="D1429" s="2197" t="s">
        <v>3303</v>
      </c>
      <c r="E1429" s="2211" t="s">
        <v>3146</v>
      </c>
      <c r="F1429" s="2212" t="s">
        <v>5627</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C1430" s="5574"/>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C1431" s="5574"/>
      <c r="D1431" s="2197" t="s">
        <v>3303</v>
      </c>
      <c r="E1431" s="2198" t="s">
        <v>3146</v>
      </c>
      <c r="F1431" s="2199" t="s">
        <v>5529</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C1432" s="5574"/>
      <c r="D1432" s="2197" t="s">
        <v>3303</v>
      </c>
      <c r="E1432" s="2211" t="s">
        <v>3146</v>
      </c>
      <c r="F1432" s="2212" t="s">
        <v>5626</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C1433" s="5574"/>
      <c r="D1433" s="2197" t="s">
        <v>3303</v>
      </c>
      <c r="E1433" s="2211" t="s">
        <v>3146</v>
      </c>
      <c r="F1433" s="2212" t="s">
        <v>5627</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C1434" s="5574"/>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C1435" s="5574"/>
      <c r="D1435" s="2197" t="s">
        <v>3303</v>
      </c>
      <c r="E1435" s="2198" t="s">
        <v>3146</v>
      </c>
      <c r="F1435" s="2199" t="s">
        <v>5530</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C1436" s="5574"/>
      <c r="D1436" s="2197" t="s">
        <v>3303</v>
      </c>
      <c r="E1436" s="2211" t="s">
        <v>3146</v>
      </c>
      <c r="F1436" s="2212" t="s">
        <v>5626</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C1437" s="5574"/>
      <c r="D1437" s="2197" t="s">
        <v>3303</v>
      </c>
      <c r="E1437" s="2211" t="s">
        <v>3146</v>
      </c>
      <c r="F1437" s="2212" t="s">
        <v>5627</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C1438" s="5574"/>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C1439" s="5574"/>
      <c r="D1439" s="2197" t="s">
        <v>3303</v>
      </c>
      <c r="E1439" s="2198" t="s">
        <v>3146</v>
      </c>
      <c r="F1439" s="2199" t="s">
        <v>5531</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C1440" s="5574"/>
      <c r="D1440" s="2197" t="s">
        <v>3303</v>
      </c>
      <c r="E1440" s="2211" t="s">
        <v>3146</v>
      </c>
      <c r="F1440" s="2212" t="s">
        <v>5626</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C1441" s="5574"/>
      <c r="D1441" s="2197" t="s">
        <v>3303</v>
      </c>
      <c r="E1441" s="2211" t="s">
        <v>3146</v>
      </c>
      <c r="F1441" s="2212" t="s">
        <v>5627</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C1442" s="5574"/>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195" customFormat="1">
      <c r="B1443" s="2196"/>
      <c r="C1443" s="5574"/>
      <c r="D1443" s="2197" t="s">
        <v>3303</v>
      </c>
      <c r="E1443" s="2198" t="s">
        <v>3146</v>
      </c>
      <c r="F1443" s="2199" t="s">
        <v>5533</v>
      </c>
      <c r="H1443" s="2198" t="s">
        <v>3146</v>
      </c>
      <c r="L1443" s="2196"/>
      <c r="M1443" s="2200"/>
      <c r="T1443" s="2201"/>
      <c r="AT1443" s="2198" t="s">
        <v>3303</v>
      </c>
      <c r="AU1443" s="2198" t="s">
        <v>134</v>
      </c>
      <c r="AV1443" s="2195" t="s">
        <v>133</v>
      </c>
      <c r="AW1443" s="2195" t="s">
        <v>3171</v>
      </c>
      <c r="AX1443" s="2195" t="s">
        <v>3213</v>
      </c>
      <c r="AY1443" s="2198" t="s">
        <v>3285</v>
      </c>
    </row>
    <row r="1444" spans="2:65" s="2209" customFormat="1">
      <c r="B1444" s="2210"/>
      <c r="C1444" s="5574"/>
      <c r="D1444" s="2197" t="s">
        <v>3303</v>
      </c>
      <c r="E1444" s="2211" t="s">
        <v>3146</v>
      </c>
      <c r="F1444" s="2212" t="s">
        <v>5626</v>
      </c>
      <c r="H1444" s="2213">
        <v>6.5</v>
      </c>
      <c r="L1444" s="2210"/>
      <c r="M1444" s="2214"/>
      <c r="T1444" s="2215"/>
      <c r="AT1444" s="2211" t="s">
        <v>3303</v>
      </c>
      <c r="AU1444" s="2211" t="s">
        <v>134</v>
      </c>
      <c r="AV1444" s="2209" t="s">
        <v>134</v>
      </c>
      <c r="AW1444" s="2209" t="s">
        <v>3171</v>
      </c>
      <c r="AX1444" s="2209" t="s">
        <v>3213</v>
      </c>
      <c r="AY1444" s="2211" t="s">
        <v>3285</v>
      </c>
    </row>
    <row r="1445" spans="2:65" s="2209" customFormat="1">
      <c r="B1445" s="2210"/>
      <c r="C1445" s="5574"/>
      <c r="D1445" s="2197" t="s">
        <v>3303</v>
      </c>
      <c r="E1445" s="2211" t="s">
        <v>3146</v>
      </c>
      <c r="F1445" s="2212" t="s">
        <v>5627</v>
      </c>
      <c r="H1445" s="2213">
        <v>-2.4</v>
      </c>
      <c r="L1445" s="2210"/>
      <c r="M1445" s="2214"/>
      <c r="T1445" s="2215"/>
      <c r="AT1445" s="2211" t="s">
        <v>3303</v>
      </c>
      <c r="AU1445" s="2211" t="s">
        <v>134</v>
      </c>
      <c r="AV1445" s="2209" t="s">
        <v>134</v>
      </c>
      <c r="AW1445" s="2209" t="s">
        <v>3171</v>
      </c>
      <c r="AX1445" s="2209" t="s">
        <v>3213</v>
      </c>
      <c r="AY1445" s="2211" t="s">
        <v>3285</v>
      </c>
    </row>
    <row r="1446" spans="2:65" s="2202" customFormat="1">
      <c r="B1446" s="2203"/>
      <c r="C1446" s="5574"/>
      <c r="D1446" s="2197" t="s">
        <v>3303</v>
      </c>
      <c r="E1446" s="2204" t="s">
        <v>3146</v>
      </c>
      <c r="F1446" s="2205" t="s">
        <v>3305</v>
      </c>
      <c r="H1446" s="2206">
        <v>4.0999999999999996</v>
      </c>
      <c r="L1446" s="2203"/>
      <c r="M1446" s="2207"/>
      <c r="T1446" s="2208"/>
      <c r="AT1446" s="2204" t="s">
        <v>3303</v>
      </c>
      <c r="AU1446" s="2204" t="s">
        <v>134</v>
      </c>
      <c r="AV1446" s="2202" t="s">
        <v>854</v>
      </c>
      <c r="AW1446" s="2202" t="s">
        <v>3171</v>
      </c>
      <c r="AX1446" s="2202" t="s">
        <v>3213</v>
      </c>
      <c r="AY1446" s="2204" t="s">
        <v>3285</v>
      </c>
    </row>
    <row r="1447" spans="2:65" s="2195" customFormat="1">
      <c r="B1447" s="2196"/>
      <c r="C1447" s="5574"/>
      <c r="D1447" s="2197" t="s">
        <v>3303</v>
      </c>
      <c r="E1447" s="2198" t="s">
        <v>3146</v>
      </c>
      <c r="F1447" s="2199" t="s">
        <v>5534</v>
      </c>
      <c r="H1447" s="2198" t="s">
        <v>3146</v>
      </c>
      <c r="L1447" s="2196"/>
      <c r="M1447" s="2200"/>
      <c r="T1447" s="2201"/>
      <c r="AT1447" s="2198" t="s">
        <v>3303</v>
      </c>
      <c r="AU1447" s="2198" t="s">
        <v>134</v>
      </c>
      <c r="AV1447" s="2195" t="s">
        <v>133</v>
      </c>
      <c r="AW1447" s="2195" t="s">
        <v>3171</v>
      </c>
      <c r="AX1447" s="2195" t="s">
        <v>3213</v>
      </c>
      <c r="AY1447" s="2198" t="s">
        <v>3285</v>
      </c>
    </row>
    <row r="1448" spans="2:65" s="2209" customFormat="1">
      <c r="B1448" s="2210"/>
      <c r="C1448" s="5574"/>
      <c r="D1448" s="2197" t="s">
        <v>3303</v>
      </c>
      <c r="E1448" s="2211" t="s">
        <v>3146</v>
      </c>
      <c r="F1448" s="2212" t="s">
        <v>5626</v>
      </c>
      <c r="H1448" s="2213">
        <v>6.5</v>
      </c>
      <c r="L1448" s="2210"/>
      <c r="M1448" s="2214"/>
      <c r="T1448" s="2215"/>
      <c r="AT1448" s="2211" t="s">
        <v>3303</v>
      </c>
      <c r="AU1448" s="2211" t="s">
        <v>134</v>
      </c>
      <c r="AV1448" s="2209" t="s">
        <v>134</v>
      </c>
      <c r="AW1448" s="2209" t="s">
        <v>3171</v>
      </c>
      <c r="AX1448" s="2209" t="s">
        <v>3213</v>
      </c>
      <c r="AY1448" s="2211" t="s">
        <v>3285</v>
      </c>
    </row>
    <row r="1449" spans="2:65" s="2209" customFormat="1">
      <c r="B1449" s="2210"/>
      <c r="C1449" s="5574"/>
      <c r="D1449" s="2197" t="s">
        <v>3303</v>
      </c>
      <c r="E1449" s="2211" t="s">
        <v>3146</v>
      </c>
      <c r="F1449" s="2212" t="s">
        <v>5627</v>
      </c>
      <c r="H1449" s="2213">
        <v>-2.4</v>
      </c>
      <c r="L1449" s="2210"/>
      <c r="M1449" s="2214"/>
      <c r="T1449" s="2215"/>
      <c r="AT1449" s="2211" t="s">
        <v>3303</v>
      </c>
      <c r="AU1449" s="2211" t="s">
        <v>134</v>
      </c>
      <c r="AV1449" s="2209" t="s">
        <v>134</v>
      </c>
      <c r="AW1449" s="2209" t="s">
        <v>3171</v>
      </c>
      <c r="AX1449" s="2209" t="s">
        <v>3213</v>
      </c>
      <c r="AY1449" s="2211" t="s">
        <v>3285</v>
      </c>
    </row>
    <row r="1450" spans="2:65" s="2202" customFormat="1">
      <c r="B1450" s="2203"/>
      <c r="C1450" s="5574"/>
      <c r="D1450" s="2197" t="s">
        <v>3303</v>
      </c>
      <c r="E1450" s="2204" t="s">
        <v>3146</v>
      </c>
      <c r="F1450" s="2205" t="s">
        <v>3305</v>
      </c>
      <c r="H1450" s="2206">
        <v>4.0999999999999996</v>
      </c>
      <c r="L1450" s="2203"/>
      <c r="M1450" s="2207"/>
      <c r="T1450" s="2208"/>
      <c r="AT1450" s="2204" t="s">
        <v>3303</v>
      </c>
      <c r="AU1450" s="2204" t="s">
        <v>134</v>
      </c>
      <c r="AV1450" s="2202" t="s">
        <v>854</v>
      </c>
      <c r="AW1450" s="2202" t="s">
        <v>3171</v>
      </c>
      <c r="AX1450" s="2202" t="s">
        <v>3213</v>
      </c>
      <c r="AY1450" s="2204" t="s">
        <v>3285</v>
      </c>
    </row>
    <row r="1451" spans="2:65" s="2216" customFormat="1">
      <c r="B1451" s="2217"/>
      <c r="C1451" s="5574"/>
      <c r="D1451" s="2197" t="s">
        <v>3303</v>
      </c>
      <c r="E1451" s="2218" t="s">
        <v>3146</v>
      </c>
      <c r="F1451" s="2219" t="s">
        <v>3306</v>
      </c>
      <c r="H1451" s="2220">
        <v>36.9</v>
      </c>
      <c r="L1451" s="2217"/>
      <c r="M1451" s="2221"/>
      <c r="T1451" s="2222"/>
      <c r="AT1451" s="2218" t="s">
        <v>3303</v>
      </c>
      <c r="AU1451" s="2218" t="s">
        <v>134</v>
      </c>
      <c r="AV1451" s="2216" t="s">
        <v>856</v>
      </c>
      <c r="AW1451" s="2216" t="s">
        <v>3171</v>
      </c>
      <c r="AX1451" s="2216" t="s">
        <v>133</v>
      </c>
      <c r="AY1451" s="2218" t="s">
        <v>3285</v>
      </c>
    </row>
    <row r="1452" spans="2:65" s="2070" customFormat="1" ht="24.2" customHeight="1">
      <c r="B1452" s="2164"/>
      <c r="C1452" s="5609" t="s">
        <v>11408</v>
      </c>
      <c r="D1452" s="4614" t="s">
        <v>135</v>
      </c>
      <c r="E1452" s="4615" t="s">
        <v>5629</v>
      </c>
      <c r="F1452" s="4616" t="s">
        <v>5630</v>
      </c>
      <c r="G1452" s="4617" t="s">
        <v>611</v>
      </c>
      <c r="H1452" s="4618">
        <v>46.125</v>
      </c>
      <c r="I1452" s="5874" t="s">
        <v>11555</v>
      </c>
      <c r="J1452" s="5875"/>
      <c r="K1452" s="4616" t="s">
        <v>142</v>
      </c>
      <c r="L1452" s="2223"/>
      <c r="M1452" s="2224" t="s">
        <v>3146</v>
      </c>
      <c r="N1452" s="2225" t="s">
        <v>3181</v>
      </c>
      <c r="O1452" s="2191">
        <v>0</v>
      </c>
      <c r="P1452" s="2191">
        <f>O1452*H1452</f>
        <v>0</v>
      </c>
      <c r="Q1452" s="2191">
        <v>3.8289999999999998E-2</v>
      </c>
      <c r="R1452" s="2191">
        <f>Q1452*H1452</f>
        <v>1.7661262499999999</v>
      </c>
      <c r="S1452" s="2191">
        <v>0</v>
      </c>
      <c r="T1452" s="2192">
        <f>S1452*H1452</f>
        <v>0</v>
      </c>
      <c r="AR1452" s="2193" t="s">
        <v>3389</v>
      </c>
      <c r="AT1452" s="2193" t="s">
        <v>135</v>
      </c>
      <c r="AU1452" s="2193" t="s">
        <v>134</v>
      </c>
      <c r="AY1452" s="2056" t="s">
        <v>3285</v>
      </c>
      <c r="BE1452" s="2194">
        <f>IF(N1452="základní",J1452,0)</f>
        <v>0</v>
      </c>
      <c r="BF1452" s="2194">
        <f>IF(N1452="snížená",J1452,0)</f>
        <v>0</v>
      </c>
      <c r="BG1452" s="2194">
        <f>IF(N1452="zákl. přenesená",J1452,0)</f>
        <v>0</v>
      </c>
      <c r="BH1452" s="2194">
        <f>IF(N1452="sníž. přenesená",J1452,0)</f>
        <v>0</v>
      </c>
      <c r="BI1452" s="2194">
        <f>IF(N1452="nulová",J1452,0)</f>
        <v>0</v>
      </c>
      <c r="BJ1452" s="2056" t="s">
        <v>134</v>
      </c>
      <c r="BK1452" s="2194">
        <v>0</v>
      </c>
      <c r="BL1452" s="2056" t="s">
        <v>2894</v>
      </c>
      <c r="BM1452" s="2193" t="s">
        <v>5631</v>
      </c>
    </row>
    <row r="1453" spans="2:65" s="2195" customFormat="1">
      <c r="B1453" s="2196"/>
      <c r="C1453" s="5574"/>
      <c r="D1453" s="2197" t="s">
        <v>3303</v>
      </c>
      <c r="E1453" s="2198" t="s">
        <v>3146</v>
      </c>
      <c r="F1453" s="2199" t="s">
        <v>5523</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C1454" s="5574"/>
      <c r="D1454" s="2197" t="s">
        <v>3303</v>
      </c>
      <c r="E1454" s="2211" t="s">
        <v>3146</v>
      </c>
      <c r="F1454" s="2212" t="s">
        <v>5626</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C1455" s="5574"/>
      <c r="D1455" s="2197" t="s">
        <v>3303</v>
      </c>
      <c r="E1455" s="2211" t="s">
        <v>3146</v>
      </c>
      <c r="F1455" s="2212" t="s">
        <v>5627</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C1456" s="5574"/>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C1457" s="5574"/>
      <c r="D1457" s="2197" t="s">
        <v>3303</v>
      </c>
      <c r="E1457" s="2198" t="s">
        <v>3146</v>
      </c>
      <c r="F1457" s="2199" t="s">
        <v>5628</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C1458" s="5574"/>
      <c r="D1458" s="2197" t="s">
        <v>3303</v>
      </c>
      <c r="E1458" s="2211" t="s">
        <v>3146</v>
      </c>
      <c r="F1458" s="2212" t="s">
        <v>5626</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C1459" s="5574"/>
      <c r="D1459" s="2197" t="s">
        <v>3303</v>
      </c>
      <c r="E1459" s="2211" t="s">
        <v>3146</v>
      </c>
      <c r="F1459" s="2212" t="s">
        <v>5627</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C1460" s="5574"/>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C1461" s="5574"/>
      <c r="D1461" s="2197" t="s">
        <v>3303</v>
      </c>
      <c r="E1461" s="2198" t="s">
        <v>3146</v>
      </c>
      <c r="F1461" s="2199" t="s">
        <v>5526</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C1462" s="5574"/>
      <c r="D1462" s="2197" t="s">
        <v>3303</v>
      </c>
      <c r="E1462" s="2211" t="s">
        <v>3146</v>
      </c>
      <c r="F1462" s="2212" t="s">
        <v>5626</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C1463" s="5574"/>
      <c r="D1463" s="2197" t="s">
        <v>3303</v>
      </c>
      <c r="E1463" s="2211" t="s">
        <v>3146</v>
      </c>
      <c r="F1463" s="2212" t="s">
        <v>5627</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C1464" s="5574"/>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C1465" s="5574"/>
      <c r="D1465" s="2197" t="s">
        <v>3303</v>
      </c>
      <c r="E1465" s="2198" t="s">
        <v>3146</v>
      </c>
      <c r="F1465" s="2199" t="s">
        <v>5527</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C1466" s="5574"/>
      <c r="D1466" s="2197" t="s">
        <v>3303</v>
      </c>
      <c r="E1466" s="2211" t="s">
        <v>3146</v>
      </c>
      <c r="F1466" s="2212" t="s">
        <v>5626</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C1467" s="5574"/>
      <c r="D1467" s="2197" t="s">
        <v>3303</v>
      </c>
      <c r="E1467" s="2211" t="s">
        <v>3146</v>
      </c>
      <c r="F1467" s="2212" t="s">
        <v>5627</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C1468" s="5574"/>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C1469" s="5574"/>
      <c r="D1469" s="2197" t="s">
        <v>3303</v>
      </c>
      <c r="E1469" s="2198" t="s">
        <v>3146</v>
      </c>
      <c r="F1469" s="2199" t="s">
        <v>5529</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C1470" s="5574"/>
      <c r="D1470" s="2197" t="s">
        <v>3303</v>
      </c>
      <c r="E1470" s="2211" t="s">
        <v>3146</v>
      </c>
      <c r="F1470" s="2212" t="s">
        <v>5626</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C1471" s="5574"/>
      <c r="D1471" s="2197" t="s">
        <v>3303</v>
      </c>
      <c r="E1471" s="2211" t="s">
        <v>3146</v>
      </c>
      <c r="F1471" s="2212" t="s">
        <v>5627</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C1472" s="5574"/>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51" s="2195" customFormat="1">
      <c r="B1473" s="2196"/>
      <c r="C1473" s="5574"/>
      <c r="D1473" s="2197" t="s">
        <v>3303</v>
      </c>
      <c r="E1473" s="2198" t="s">
        <v>3146</v>
      </c>
      <c r="F1473" s="2199" t="s">
        <v>5530</v>
      </c>
      <c r="H1473" s="2198" t="s">
        <v>3146</v>
      </c>
      <c r="L1473" s="2196"/>
      <c r="M1473" s="2200"/>
      <c r="T1473" s="2201"/>
      <c r="AT1473" s="2198" t="s">
        <v>3303</v>
      </c>
      <c r="AU1473" s="2198" t="s">
        <v>134</v>
      </c>
      <c r="AV1473" s="2195" t="s">
        <v>133</v>
      </c>
      <c r="AW1473" s="2195" t="s">
        <v>3171</v>
      </c>
      <c r="AX1473" s="2195" t="s">
        <v>3213</v>
      </c>
      <c r="AY1473" s="2198" t="s">
        <v>3285</v>
      </c>
    </row>
    <row r="1474" spans="2:51" s="2209" customFormat="1">
      <c r="B1474" s="2210"/>
      <c r="C1474" s="5574"/>
      <c r="D1474" s="2197" t="s">
        <v>3303</v>
      </c>
      <c r="E1474" s="2211" t="s">
        <v>3146</v>
      </c>
      <c r="F1474" s="2212" t="s">
        <v>5626</v>
      </c>
      <c r="H1474" s="2213">
        <v>6.5</v>
      </c>
      <c r="L1474" s="2210"/>
      <c r="M1474" s="2214"/>
      <c r="T1474" s="2215"/>
      <c r="AT1474" s="2211" t="s">
        <v>3303</v>
      </c>
      <c r="AU1474" s="2211" t="s">
        <v>134</v>
      </c>
      <c r="AV1474" s="2209" t="s">
        <v>134</v>
      </c>
      <c r="AW1474" s="2209" t="s">
        <v>3171</v>
      </c>
      <c r="AX1474" s="2209" t="s">
        <v>3213</v>
      </c>
      <c r="AY1474" s="2211" t="s">
        <v>3285</v>
      </c>
    </row>
    <row r="1475" spans="2:51" s="2209" customFormat="1">
      <c r="B1475" s="2210"/>
      <c r="C1475" s="5574"/>
      <c r="D1475" s="2197" t="s">
        <v>3303</v>
      </c>
      <c r="E1475" s="2211" t="s">
        <v>3146</v>
      </c>
      <c r="F1475" s="2212" t="s">
        <v>5627</v>
      </c>
      <c r="H1475" s="2213">
        <v>-2.4</v>
      </c>
      <c r="L1475" s="2210"/>
      <c r="M1475" s="2214"/>
      <c r="T1475" s="2215"/>
      <c r="AT1475" s="2211" t="s">
        <v>3303</v>
      </c>
      <c r="AU1475" s="2211" t="s">
        <v>134</v>
      </c>
      <c r="AV1475" s="2209" t="s">
        <v>134</v>
      </c>
      <c r="AW1475" s="2209" t="s">
        <v>3171</v>
      </c>
      <c r="AX1475" s="2209" t="s">
        <v>3213</v>
      </c>
      <c r="AY1475" s="2211" t="s">
        <v>3285</v>
      </c>
    </row>
    <row r="1476" spans="2:51" s="2202" customFormat="1">
      <c r="B1476" s="2203"/>
      <c r="C1476" s="5574"/>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51" s="2195" customFormat="1">
      <c r="B1477" s="2196"/>
      <c r="C1477" s="5574"/>
      <c r="D1477" s="2197" t="s">
        <v>3303</v>
      </c>
      <c r="E1477" s="2198" t="s">
        <v>3146</v>
      </c>
      <c r="F1477" s="2199" t="s">
        <v>5531</v>
      </c>
      <c r="H1477" s="2198" t="s">
        <v>3146</v>
      </c>
      <c r="L1477" s="2196"/>
      <c r="M1477" s="2200"/>
      <c r="T1477" s="2201"/>
      <c r="AT1477" s="2198" t="s">
        <v>3303</v>
      </c>
      <c r="AU1477" s="2198" t="s">
        <v>134</v>
      </c>
      <c r="AV1477" s="2195" t="s">
        <v>133</v>
      </c>
      <c r="AW1477" s="2195" t="s">
        <v>3171</v>
      </c>
      <c r="AX1477" s="2195" t="s">
        <v>3213</v>
      </c>
      <c r="AY1477" s="2198" t="s">
        <v>3285</v>
      </c>
    </row>
    <row r="1478" spans="2:51" s="2209" customFormat="1">
      <c r="B1478" s="2210"/>
      <c r="C1478" s="5574"/>
      <c r="D1478" s="2197" t="s">
        <v>3303</v>
      </c>
      <c r="E1478" s="2211" t="s">
        <v>3146</v>
      </c>
      <c r="F1478" s="2212" t="s">
        <v>5626</v>
      </c>
      <c r="H1478" s="2213">
        <v>6.5</v>
      </c>
      <c r="L1478" s="2210"/>
      <c r="M1478" s="2214"/>
      <c r="T1478" s="2215"/>
      <c r="AT1478" s="2211" t="s">
        <v>3303</v>
      </c>
      <c r="AU1478" s="2211" t="s">
        <v>134</v>
      </c>
      <c r="AV1478" s="2209" t="s">
        <v>134</v>
      </c>
      <c r="AW1478" s="2209" t="s">
        <v>3171</v>
      </c>
      <c r="AX1478" s="2209" t="s">
        <v>3213</v>
      </c>
      <c r="AY1478" s="2211" t="s">
        <v>3285</v>
      </c>
    </row>
    <row r="1479" spans="2:51" s="2209" customFormat="1">
      <c r="B1479" s="2210"/>
      <c r="C1479" s="5574"/>
      <c r="D1479" s="2197" t="s">
        <v>3303</v>
      </c>
      <c r="E1479" s="2211" t="s">
        <v>3146</v>
      </c>
      <c r="F1479" s="2212" t="s">
        <v>5627</v>
      </c>
      <c r="H1479" s="2213">
        <v>-2.4</v>
      </c>
      <c r="L1479" s="2210"/>
      <c r="M1479" s="2214"/>
      <c r="T1479" s="2215"/>
      <c r="AT1479" s="2211" t="s">
        <v>3303</v>
      </c>
      <c r="AU1479" s="2211" t="s">
        <v>134</v>
      </c>
      <c r="AV1479" s="2209" t="s">
        <v>134</v>
      </c>
      <c r="AW1479" s="2209" t="s">
        <v>3171</v>
      </c>
      <c r="AX1479" s="2209" t="s">
        <v>3213</v>
      </c>
      <c r="AY1479" s="2211" t="s">
        <v>3285</v>
      </c>
    </row>
    <row r="1480" spans="2:51" s="2202" customFormat="1">
      <c r="B1480" s="2203"/>
      <c r="C1480" s="5574"/>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51" s="2195" customFormat="1">
      <c r="B1481" s="2196"/>
      <c r="C1481" s="5574"/>
      <c r="D1481" s="2197" t="s">
        <v>3303</v>
      </c>
      <c r="E1481" s="2198" t="s">
        <v>3146</v>
      </c>
      <c r="F1481" s="2199" t="s">
        <v>5533</v>
      </c>
      <c r="H1481" s="2198" t="s">
        <v>3146</v>
      </c>
      <c r="L1481" s="2196"/>
      <c r="M1481" s="2200"/>
      <c r="T1481" s="2201"/>
      <c r="AT1481" s="2198" t="s">
        <v>3303</v>
      </c>
      <c r="AU1481" s="2198" t="s">
        <v>134</v>
      </c>
      <c r="AV1481" s="2195" t="s">
        <v>133</v>
      </c>
      <c r="AW1481" s="2195" t="s">
        <v>3171</v>
      </c>
      <c r="AX1481" s="2195" t="s">
        <v>3213</v>
      </c>
      <c r="AY1481" s="2198" t="s">
        <v>3285</v>
      </c>
    </row>
    <row r="1482" spans="2:51" s="2209" customFormat="1">
      <c r="B1482" s="2210"/>
      <c r="C1482" s="5574"/>
      <c r="D1482" s="2197" t="s">
        <v>3303</v>
      </c>
      <c r="E1482" s="2211" t="s">
        <v>3146</v>
      </c>
      <c r="F1482" s="2212" t="s">
        <v>5626</v>
      </c>
      <c r="H1482" s="2213">
        <v>6.5</v>
      </c>
      <c r="L1482" s="2210"/>
      <c r="M1482" s="2214"/>
      <c r="T1482" s="2215"/>
      <c r="AT1482" s="2211" t="s">
        <v>3303</v>
      </c>
      <c r="AU1482" s="2211" t="s">
        <v>134</v>
      </c>
      <c r="AV1482" s="2209" t="s">
        <v>134</v>
      </c>
      <c r="AW1482" s="2209" t="s">
        <v>3171</v>
      </c>
      <c r="AX1482" s="2209" t="s">
        <v>3213</v>
      </c>
      <c r="AY1482" s="2211" t="s">
        <v>3285</v>
      </c>
    </row>
    <row r="1483" spans="2:51" s="2209" customFormat="1">
      <c r="B1483" s="2210"/>
      <c r="C1483" s="5574"/>
      <c r="D1483" s="2197" t="s">
        <v>3303</v>
      </c>
      <c r="E1483" s="2211" t="s">
        <v>3146</v>
      </c>
      <c r="F1483" s="2212" t="s">
        <v>5627</v>
      </c>
      <c r="H1483" s="2213">
        <v>-2.4</v>
      </c>
      <c r="L1483" s="2210"/>
      <c r="M1483" s="2214"/>
      <c r="T1483" s="2215"/>
      <c r="AT1483" s="2211" t="s">
        <v>3303</v>
      </c>
      <c r="AU1483" s="2211" t="s">
        <v>134</v>
      </c>
      <c r="AV1483" s="2209" t="s">
        <v>134</v>
      </c>
      <c r="AW1483" s="2209" t="s">
        <v>3171</v>
      </c>
      <c r="AX1483" s="2209" t="s">
        <v>3213</v>
      </c>
      <c r="AY1483" s="2211" t="s">
        <v>3285</v>
      </c>
    </row>
    <row r="1484" spans="2:51" s="2202" customFormat="1">
      <c r="B1484" s="2203"/>
      <c r="C1484" s="5574"/>
      <c r="D1484" s="2197" t="s">
        <v>3303</v>
      </c>
      <c r="E1484" s="2204" t="s">
        <v>3146</v>
      </c>
      <c r="F1484" s="2205" t="s">
        <v>3305</v>
      </c>
      <c r="H1484" s="2206">
        <v>4.0999999999999996</v>
      </c>
      <c r="L1484" s="2203"/>
      <c r="M1484" s="2207"/>
      <c r="T1484" s="2208"/>
      <c r="AT1484" s="2204" t="s">
        <v>3303</v>
      </c>
      <c r="AU1484" s="2204" t="s">
        <v>134</v>
      </c>
      <c r="AV1484" s="2202" t="s">
        <v>854</v>
      </c>
      <c r="AW1484" s="2202" t="s">
        <v>3171</v>
      </c>
      <c r="AX1484" s="2202" t="s">
        <v>3213</v>
      </c>
      <c r="AY1484" s="2204" t="s">
        <v>3285</v>
      </c>
    </row>
    <row r="1485" spans="2:51" s="2195" customFormat="1">
      <c r="B1485" s="2196"/>
      <c r="C1485" s="5574"/>
      <c r="D1485" s="2197" t="s">
        <v>3303</v>
      </c>
      <c r="E1485" s="2198" t="s">
        <v>3146</v>
      </c>
      <c r="F1485" s="2199" t="s">
        <v>5534</v>
      </c>
      <c r="H1485" s="2198" t="s">
        <v>3146</v>
      </c>
      <c r="L1485" s="2196"/>
      <c r="M1485" s="2200"/>
      <c r="T1485" s="2201"/>
      <c r="AT1485" s="2198" t="s">
        <v>3303</v>
      </c>
      <c r="AU1485" s="2198" t="s">
        <v>134</v>
      </c>
      <c r="AV1485" s="2195" t="s">
        <v>133</v>
      </c>
      <c r="AW1485" s="2195" t="s">
        <v>3171</v>
      </c>
      <c r="AX1485" s="2195" t="s">
        <v>3213</v>
      </c>
      <c r="AY1485" s="2198" t="s">
        <v>3285</v>
      </c>
    </row>
    <row r="1486" spans="2:51" s="2209" customFormat="1">
      <c r="B1486" s="2210"/>
      <c r="C1486" s="5574"/>
      <c r="D1486" s="2197" t="s">
        <v>3303</v>
      </c>
      <c r="E1486" s="2211" t="s">
        <v>3146</v>
      </c>
      <c r="F1486" s="2212" t="s">
        <v>5626</v>
      </c>
      <c r="H1486" s="2213">
        <v>6.5</v>
      </c>
      <c r="L1486" s="2210"/>
      <c r="M1486" s="2214"/>
      <c r="T1486" s="2215"/>
      <c r="AT1486" s="2211" t="s">
        <v>3303</v>
      </c>
      <c r="AU1486" s="2211" t="s">
        <v>134</v>
      </c>
      <c r="AV1486" s="2209" t="s">
        <v>134</v>
      </c>
      <c r="AW1486" s="2209" t="s">
        <v>3171</v>
      </c>
      <c r="AX1486" s="2209" t="s">
        <v>3213</v>
      </c>
      <c r="AY1486" s="2211" t="s">
        <v>3285</v>
      </c>
    </row>
    <row r="1487" spans="2:51" s="2209" customFormat="1">
      <c r="B1487" s="2210"/>
      <c r="C1487" s="5574"/>
      <c r="D1487" s="2197" t="s">
        <v>3303</v>
      </c>
      <c r="E1487" s="2211" t="s">
        <v>3146</v>
      </c>
      <c r="F1487" s="2212" t="s">
        <v>5627</v>
      </c>
      <c r="H1487" s="2213">
        <v>-2.4</v>
      </c>
      <c r="L1487" s="2210"/>
      <c r="M1487" s="2214"/>
      <c r="T1487" s="2215"/>
      <c r="AT1487" s="2211" t="s">
        <v>3303</v>
      </c>
      <c r="AU1487" s="2211" t="s">
        <v>134</v>
      </c>
      <c r="AV1487" s="2209" t="s">
        <v>134</v>
      </c>
      <c r="AW1487" s="2209" t="s">
        <v>3171</v>
      </c>
      <c r="AX1487" s="2209" t="s">
        <v>3213</v>
      </c>
      <c r="AY1487" s="2211" t="s">
        <v>3285</v>
      </c>
    </row>
    <row r="1488" spans="2:51" s="2202" customFormat="1">
      <c r="B1488" s="2203"/>
      <c r="C1488" s="5574"/>
      <c r="D1488" s="2197" t="s">
        <v>3303</v>
      </c>
      <c r="E1488" s="2204" t="s">
        <v>3146</v>
      </c>
      <c r="F1488" s="2205" t="s">
        <v>3305</v>
      </c>
      <c r="H1488" s="2206">
        <v>4.0999999999999996</v>
      </c>
      <c r="L1488" s="2203"/>
      <c r="M1488" s="2207"/>
      <c r="T1488" s="2208"/>
      <c r="AT1488" s="2204" t="s">
        <v>3303</v>
      </c>
      <c r="AU1488" s="2204" t="s">
        <v>134</v>
      </c>
      <c r="AV1488" s="2202" t="s">
        <v>854</v>
      </c>
      <c r="AW1488" s="2202" t="s">
        <v>3171</v>
      </c>
      <c r="AX1488" s="2202" t="s">
        <v>3213</v>
      </c>
      <c r="AY1488" s="2204" t="s">
        <v>3285</v>
      </c>
    </row>
    <row r="1489" spans="2:65" s="2216" customFormat="1">
      <c r="B1489" s="2217"/>
      <c r="C1489" s="5574"/>
      <c r="D1489" s="2197" t="s">
        <v>3303</v>
      </c>
      <c r="E1489" s="2218" t="s">
        <v>3146</v>
      </c>
      <c r="F1489" s="2219" t="s">
        <v>3306</v>
      </c>
      <c r="H1489" s="2220">
        <v>36.9</v>
      </c>
      <c r="L1489" s="2217"/>
      <c r="M1489" s="2221"/>
      <c r="T1489" s="2222"/>
      <c r="AT1489" s="2218" t="s">
        <v>3303</v>
      </c>
      <c r="AU1489" s="2218" t="s">
        <v>134</v>
      </c>
      <c r="AV1489" s="2216" t="s">
        <v>856</v>
      </c>
      <c r="AW1489" s="2216" t="s">
        <v>3171</v>
      </c>
      <c r="AX1489" s="2216" t="s">
        <v>133</v>
      </c>
      <c r="AY1489" s="2218" t="s">
        <v>3285</v>
      </c>
    </row>
    <row r="1490" spans="2:65" s="2209" customFormat="1">
      <c r="B1490" s="2210"/>
      <c r="C1490" s="5574"/>
      <c r="D1490" s="2197" t="s">
        <v>3303</v>
      </c>
      <c r="F1490" s="2212" t="s">
        <v>5632</v>
      </c>
      <c r="H1490" s="2213">
        <v>46.125</v>
      </c>
      <c r="L1490" s="2210"/>
      <c r="M1490" s="2214"/>
      <c r="T1490" s="2215"/>
      <c r="AT1490" s="2211" t="s">
        <v>3303</v>
      </c>
      <c r="AU1490" s="2211" t="s">
        <v>134</v>
      </c>
      <c r="AV1490" s="2209" t="s">
        <v>134</v>
      </c>
      <c r="AW1490" s="2209" t="s">
        <v>3148</v>
      </c>
      <c r="AX1490" s="2209" t="s">
        <v>133</v>
      </c>
      <c r="AY1490" s="2211" t="s">
        <v>3285</v>
      </c>
    </row>
    <row r="1491" spans="2:65" s="2070" customFormat="1" ht="16.5" customHeight="1">
      <c r="B1491" s="2164"/>
      <c r="C1491" s="5561" t="s">
        <v>11409</v>
      </c>
      <c r="D1491" s="4608" t="s">
        <v>3286</v>
      </c>
      <c r="E1491" s="4609" t="s">
        <v>5633</v>
      </c>
      <c r="F1491" s="4610" t="s">
        <v>5634</v>
      </c>
      <c r="G1491" s="4611" t="s">
        <v>611</v>
      </c>
      <c r="H1491" s="4612">
        <v>59.48</v>
      </c>
      <c r="I1491" s="5874" t="s">
        <v>11555</v>
      </c>
      <c r="J1491" s="5875"/>
      <c r="K1491" s="4610" t="s">
        <v>142</v>
      </c>
      <c r="L1491" s="2071"/>
      <c r="M1491" s="2190" t="s">
        <v>3146</v>
      </c>
      <c r="N1491" s="2163" t="s">
        <v>3181</v>
      </c>
      <c r="O1491" s="2191">
        <v>1.1739999999999999</v>
      </c>
      <c r="P1491" s="2191">
        <f>O1491*H1491</f>
        <v>69.829519999999988</v>
      </c>
      <c r="Q1491" s="2191">
        <v>1.4999999999999999E-4</v>
      </c>
      <c r="R1491" s="2191">
        <f>Q1491*H1491</f>
        <v>8.9219999999999994E-3</v>
      </c>
      <c r="S1491" s="2191">
        <v>0</v>
      </c>
      <c r="T1491" s="2192">
        <f>S1491*H1491</f>
        <v>0</v>
      </c>
      <c r="AR1491" s="2193" t="s">
        <v>2894</v>
      </c>
      <c r="AT1491" s="2193" t="s">
        <v>3286</v>
      </c>
      <c r="AU1491" s="2193" t="s">
        <v>134</v>
      </c>
      <c r="AY1491" s="2056" t="s">
        <v>3285</v>
      </c>
      <c r="BE1491" s="2194">
        <f>IF(N1491="základní",J1491,0)</f>
        <v>0</v>
      </c>
      <c r="BF1491" s="2194">
        <f>IF(N1491="snížená",J1491,0)</f>
        <v>0</v>
      </c>
      <c r="BG1491" s="2194">
        <f>IF(N1491="zákl. přenesená",J1491,0)</f>
        <v>0</v>
      </c>
      <c r="BH1491" s="2194">
        <f>IF(N1491="sníž. přenesená",J1491,0)</f>
        <v>0</v>
      </c>
      <c r="BI1491" s="2194">
        <f>IF(N1491="nulová",J1491,0)</f>
        <v>0</v>
      </c>
      <c r="BJ1491" s="2056" t="s">
        <v>134</v>
      </c>
      <c r="BK1491" s="2194">
        <v>0</v>
      </c>
      <c r="BL1491" s="2056" t="s">
        <v>2894</v>
      </c>
      <c r="BM1491" s="2193" t="s">
        <v>5635</v>
      </c>
    </row>
    <row r="1492" spans="2:65" s="2195" customFormat="1">
      <c r="B1492" s="2196"/>
      <c r="C1492" s="5574"/>
      <c r="D1492" s="2197" t="s">
        <v>3303</v>
      </c>
      <c r="E1492" s="2198" t="s">
        <v>3146</v>
      </c>
      <c r="F1492" s="2199" t="s">
        <v>5528</v>
      </c>
      <c r="H1492" s="2198" t="s">
        <v>3146</v>
      </c>
      <c r="L1492" s="2196"/>
      <c r="M1492" s="2200"/>
      <c r="T1492" s="2201"/>
      <c r="AT1492" s="2198" t="s">
        <v>3303</v>
      </c>
      <c r="AU1492" s="2198" t="s">
        <v>134</v>
      </c>
      <c r="AV1492" s="2195" t="s">
        <v>133</v>
      </c>
      <c r="AW1492" s="2195" t="s">
        <v>3171</v>
      </c>
      <c r="AX1492" s="2195" t="s">
        <v>3213</v>
      </c>
      <c r="AY1492" s="2198" t="s">
        <v>3285</v>
      </c>
    </row>
    <row r="1493" spans="2:65" s="2209" customFormat="1">
      <c r="B1493" s="2210"/>
      <c r="C1493" s="5574"/>
      <c r="D1493" s="2197" t="s">
        <v>3303</v>
      </c>
      <c r="E1493" s="2211" t="s">
        <v>3146</v>
      </c>
      <c r="F1493" s="2212" t="s">
        <v>5636</v>
      </c>
      <c r="H1493" s="2213">
        <v>11.57</v>
      </c>
      <c r="L1493" s="2210"/>
      <c r="M1493" s="2214"/>
      <c r="T1493" s="2215"/>
      <c r="AT1493" s="2211" t="s">
        <v>3303</v>
      </c>
      <c r="AU1493" s="2211" t="s">
        <v>134</v>
      </c>
      <c r="AV1493" s="2209" t="s">
        <v>134</v>
      </c>
      <c r="AW1493" s="2209" t="s">
        <v>3171</v>
      </c>
      <c r="AX1493" s="2209" t="s">
        <v>3213</v>
      </c>
      <c r="AY1493" s="2211" t="s">
        <v>3285</v>
      </c>
    </row>
    <row r="1494" spans="2:65" s="2202" customFormat="1">
      <c r="B1494" s="2203"/>
      <c r="C1494" s="5574"/>
      <c r="D1494" s="2197" t="s">
        <v>3303</v>
      </c>
      <c r="E1494" s="2204" t="s">
        <v>3146</v>
      </c>
      <c r="F1494" s="2205" t="s">
        <v>3305</v>
      </c>
      <c r="H1494" s="2206">
        <v>11.57</v>
      </c>
      <c r="L1494" s="2203"/>
      <c r="M1494" s="2207"/>
      <c r="T1494" s="2208"/>
      <c r="AT1494" s="2204" t="s">
        <v>3303</v>
      </c>
      <c r="AU1494" s="2204" t="s">
        <v>134</v>
      </c>
      <c r="AV1494" s="2202" t="s">
        <v>854</v>
      </c>
      <c r="AW1494" s="2202" t="s">
        <v>3171</v>
      </c>
      <c r="AX1494" s="2202" t="s">
        <v>3213</v>
      </c>
      <c r="AY1494" s="2204" t="s">
        <v>3285</v>
      </c>
    </row>
    <row r="1495" spans="2:65" s="2195" customFormat="1">
      <c r="B1495" s="2196"/>
      <c r="C1495" s="5574"/>
      <c r="D1495" s="2197" t="s">
        <v>3303</v>
      </c>
      <c r="E1495" s="2198" t="s">
        <v>3146</v>
      </c>
      <c r="F1495" s="2199" t="s">
        <v>5532</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C1496" s="5574"/>
      <c r="D1496" s="2197" t="s">
        <v>3303</v>
      </c>
      <c r="E1496" s="2211" t="s">
        <v>3146</v>
      </c>
      <c r="F1496" s="2212" t="s">
        <v>5636</v>
      </c>
      <c r="H1496" s="2213">
        <v>11.57</v>
      </c>
      <c r="L1496" s="2210"/>
      <c r="M1496" s="2214"/>
      <c r="T1496" s="2215"/>
      <c r="AT1496" s="2211" t="s">
        <v>3303</v>
      </c>
      <c r="AU1496" s="2211" t="s">
        <v>134</v>
      </c>
      <c r="AV1496" s="2209" t="s">
        <v>134</v>
      </c>
      <c r="AW1496" s="2209" t="s">
        <v>3171</v>
      </c>
      <c r="AX1496" s="2209" t="s">
        <v>3213</v>
      </c>
      <c r="AY1496" s="2211" t="s">
        <v>3285</v>
      </c>
    </row>
    <row r="1497" spans="2:65" s="2195" customFormat="1">
      <c r="B1497" s="2196"/>
      <c r="C1497" s="5574"/>
      <c r="D1497" s="2197" t="s">
        <v>3303</v>
      </c>
      <c r="E1497" s="2198" t="s">
        <v>3146</v>
      </c>
      <c r="F1497" s="2199" t="s">
        <v>5637</v>
      </c>
      <c r="H1497" s="2198" t="s">
        <v>3146</v>
      </c>
      <c r="L1497" s="2196"/>
      <c r="M1497" s="2200"/>
      <c r="T1497" s="2201"/>
      <c r="AT1497" s="2198" t="s">
        <v>3303</v>
      </c>
      <c r="AU1497" s="2198" t="s">
        <v>134</v>
      </c>
      <c r="AV1497" s="2195" t="s">
        <v>133</v>
      </c>
      <c r="AW1497" s="2195" t="s">
        <v>3171</v>
      </c>
      <c r="AX1497" s="2195" t="s">
        <v>3213</v>
      </c>
      <c r="AY1497" s="2198" t="s">
        <v>3285</v>
      </c>
    </row>
    <row r="1498" spans="2:65" s="2209" customFormat="1">
      <c r="B1498" s="2210"/>
      <c r="C1498" s="5574"/>
      <c r="D1498" s="2197" t="s">
        <v>3303</v>
      </c>
      <c r="E1498" s="2211" t="s">
        <v>3146</v>
      </c>
      <c r="F1498" s="2212" t="s">
        <v>5638</v>
      </c>
      <c r="H1498" s="2213">
        <v>22</v>
      </c>
      <c r="L1498" s="2210"/>
      <c r="M1498" s="2214"/>
      <c r="T1498" s="2215"/>
      <c r="AT1498" s="2211" t="s">
        <v>3303</v>
      </c>
      <c r="AU1498" s="2211" t="s">
        <v>134</v>
      </c>
      <c r="AV1498" s="2209" t="s">
        <v>134</v>
      </c>
      <c r="AW1498" s="2209" t="s">
        <v>3171</v>
      </c>
      <c r="AX1498" s="2209" t="s">
        <v>3213</v>
      </c>
      <c r="AY1498" s="2211" t="s">
        <v>3285</v>
      </c>
    </row>
    <row r="1499" spans="2:65" s="2209" customFormat="1">
      <c r="B1499" s="2210"/>
      <c r="C1499" s="5574"/>
      <c r="D1499" s="2197" t="s">
        <v>3303</v>
      </c>
      <c r="E1499" s="2211" t="s">
        <v>3146</v>
      </c>
      <c r="F1499" s="2212" t="s">
        <v>5639</v>
      </c>
      <c r="H1499" s="2213">
        <v>14.34</v>
      </c>
      <c r="L1499" s="2210"/>
      <c r="M1499" s="2214"/>
      <c r="T1499" s="2215"/>
      <c r="AT1499" s="2211" t="s">
        <v>3303</v>
      </c>
      <c r="AU1499" s="2211" t="s">
        <v>134</v>
      </c>
      <c r="AV1499" s="2209" t="s">
        <v>134</v>
      </c>
      <c r="AW1499" s="2209" t="s">
        <v>3171</v>
      </c>
      <c r="AX1499" s="2209" t="s">
        <v>3213</v>
      </c>
      <c r="AY1499" s="2211" t="s">
        <v>3285</v>
      </c>
    </row>
    <row r="1500" spans="2:65" s="2202" customFormat="1">
      <c r="B1500" s="2203"/>
      <c r="C1500" s="5574"/>
      <c r="D1500" s="2197" t="s">
        <v>3303</v>
      </c>
      <c r="E1500" s="2204" t="s">
        <v>3146</v>
      </c>
      <c r="F1500" s="2205" t="s">
        <v>3305</v>
      </c>
      <c r="H1500" s="2206">
        <v>47.91</v>
      </c>
      <c r="L1500" s="2203"/>
      <c r="M1500" s="2207"/>
      <c r="T1500" s="2208"/>
      <c r="AT1500" s="2204" t="s">
        <v>3303</v>
      </c>
      <c r="AU1500" s="2204" t="s">
        <v>134</v>
      </c>
      <c r="AV1500" s="2202" t="s">
        <v>854</v>
      </c>
      <c r="AW1500" s="2202" t="s">
        <v>3171</v>
      </c>
      <c r="AX1500" s="2202" t="s">
        <v>3213</v>
      </c>
      <c r="AY1500" s="2204" t="s">
        <v>3285</v>
      </c>
    </row>
    <row r="1501" spans="2:65" s="2216" customFormat="1">
      <c r="B1501" s="2217"/>
      <c r="C1501" s="5574"/>
      <c r="D1501" s="2197" t="s">
        <v>3303</v>
      </c>
      <c r="E1501" s="2218" t="s">
        <v>3146</v>
      </c>
      <c r="F1501" s="2219" t="s">
        <v>3306</v>
      </c>
      <c r="H1501" s="2220">
        <v>59.48</v>
      </c>
      <c r="L1501" s="2217"/>
      <c r="M1501" s="2221"/>
      <c r="T1501" s="2222"/>
      <c r="AT1501" s="2218" t="s">
        <v>3303</v>
      </c>
      <c r="AU1501" s="2218" t="s">
        <v>134</v>
      </c>
      <c r="AV1501" s="2216" t="s">
        <v>856</v>
      </c>
      <c r="AW1501" s="2216" t="s">
        <v>3171</v>
      </c>
      <c r="AX1501" s="2216" t="s">
        <v>133</v>
      </c>
      <c r="AY1501" s="2218" t="s">
        <v>3285</v>
      </c>
    </row>
    <row r="1502" spans="2:65" s="2070" customFormat="1" ht="24.2" customHeight="1">
      <c r="B1502" s="2164"/>
      <c r="C1502" s="5609" t="s">
        <v>11410</v>
      </c>
      <c r="D1502" s="4614" t="s">
        <v>135</v>
      </c>
      <c r="E1502" s="4615" t="s">
        <v>5640</v>
      </c>
      <c r="F1502" s="4616" t="s">
        <v>5641</v>
      </c>
      <c r="G1502" s="4617" t="s">
        <v>611</v>
      </c>
      <c r="H1502" s="4618">
        <v>28.925000000000001</v>
      </c>
      <c r="I1502" s="5874" t="s">
        <v>11555</v>
      </c>
      <c r="J1502" s="5875"/>
      <c r="K1502" s="4616" t="s">
        <v>142</v>
      </c>
      <c r="L1502" s="2223"/>
      <c r="M1502" s="2224" t="s">
        <v>3146</v>
      </c>
      <c r="N1502" s="2225" t="s">
        <v>3181</v>
      </c>
      <c r="O1502" s="2191">
        <v>0</v>
      </c>
      <c r="P1502" s="2191">
        <f>O1502*H1502</f>
        <v>0</v>
      </c>
      <c r="Q1502" s="2191">
        <v>3.8289999999999998E-2</v>
      </c>
      <c r="R1502" s="2191">
        <f>Q1502*H1502</f>
        <v>1.1075382499999999</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v>0</v>
      </c>
      <c r="BL1502" s="2056" t="s">
        <v>2894</v>
      </c>
      <c r="BM1502" s="2193" t="s">
        <v>5642</v>
      </c>
    </row>
    <row r="1503" spans="2:65" s="2195" customFormat="1">
      <c r="B1503" s="2196"/>
      <c r="C1503" s="5574"/>
      <c r="D1503" s="2197" t="s">
        <v>3303</v>
      </c>
      <c r="E1503" s="2198" t="s">
        <v>3146</v>
      </c>
      <c r="F1503" s="2199" t="s">
        <v>5528</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C1504" s="5574"/>
      <c r="D1504" s="2197" t="s">
        <v>3303</v>
      </c>
      <c r="E1504" s="2211" t="s">
        <v>3146</v>
      </c>
      <c r="F1504" s="2212" t="s">
        <v>5636</v>
      </c>
      <c r="H1504" s="2213">
        <v>11.57</v>
      </c>
      <c r="L1504" s="2210"/>
      <c r="M1504" s="2214"/>
      <c r="T1504" s="2215"/>
      <c r="AT1504" s="2211" t="s">
        <v>3303</v>
      </c>
      <c r="AU1504" s="2211" t="s">
        <v>134</v>
      </c>
      <c r="AV1504" s="2209" t="s">
        <v>134</v>
      </c>
      <c r="AW1504" s="2209" t="s">
        <v>3171</v>
      </c>
      <c r="AX1504" s="2209" t="s">
        <v>3213</v>
      </c>
      <c r="AY1504" s="2211" t="s">
        <v>3285</v>
      </c>
    </row>
    <row r="1505" spans="2:65" s="2202" customFormat="1">
      <c r="B1505" s="2203"/>
      <c r="C1505" s="5574"/>
      <c r="D1505" s="2197" t="s">
        <v>3303</v>
      </c>
      <c r="E1505" s="2204" t="s">
        <v>3146</v>
      </c>
      <c r="F1505" s="2205" t="s">
        <v>3305</v>
      </c>
      <c r="H1505" s="2206">
        <v>11.57</v>
      </c>
      <c r="L1505" s="2203"/>
      <c r="M1505" s="2207"/>
      <c r="T1505" s="2208"/>
      <c r="AT1505" s="2204" t="s">
        <v>3303</v>
      </c>
      <c r="AU1505" s="2204" t="s">
        <v>134</v>
      </c>
      <c r="AV1505" s="2202" t="s">
        <v>854</v>
      </c>
      <c r="AW1505" s="2202" t="s">
        <v>3171</v>
      </c>
      <c r="AX1505" s="2202" t="s">
        <v>3213</v>
      </c>
      <c r="AY1505" s="2204" t="s">
        <v>3285</v>
      </c>
    </row>
    <row r="1506" spans="2:65" s="2195" customFormat="1">
      <c r="B1506" s="2196"/>
      <c r="C1506" s="5574"/>
      <c r="D1506" s="2197" t="s">
        <v>3303</v>
      </c>
      <c r="E1506" s="2198" t="s">
        <v>3146</v>
      </c>
      <c r="F1506" s="2199" t="s">
        <v>5532</v>
      </c>
      <c r="H1506" s="2198" t="s">
        <v>3146</v>
      </c>
      <c r="L1506" s="2196"/>
      <c r="M1506" s="2200"/>
      <c r="T1506" s="2201"/>
      <c r="AT1506" s="2198" t="s">
        <v>3303</v>
      </c>
      <c r="AU1506" s="2198" t="s">
        <v>134</v>
      </c>
      <c r="AV1506" s="2195" t="s">
        <v>133</v>
      </c>
      <c r="AW1506" s="2195" t="s">
        <v>3171</v>
      </c>
      <c r="AX1506" s="2195" t="s">
        <v>3213</v>
      </c>
      <c r="AY1506" s="2198" t="s">
        <v>3285</v>
      </c>
    </row>
    <row r="1507" spans="2:65" s="2209" customFormat="1">
      <c r="B1507" s="2210"/>
      <c r="C1507" s="5574"/>
      <c r="D1507" s="2197" t="s">
        <v>3303</v>
      </c>
      <c r="E1507" s="2211" t="s">
        <v>3146</v>
      </c>
      <c r="F1507" s="2212" t="s">
        <v>5636</v>
      </c>
      <c r="H1507" s="2213">
        <v>11.57</v>
      </c>
      <c r="L1507" s="2210"/>
      <c r="M1507" s="2214"/>
      <c r="T1507" s="2215"/>
      <c r="AT1507" s="2211" t="s">
        <v>3303</v>
      </c>
      <c r="AU1507" s="2211" t="s">
        <v>134</v>
      </c>
      <c r="AV1507" s="2209" t="s">
        <v>134</v>
      </c>
      <c r="AW1507" s="2209" t="s">
        <v>3171</v>
      </c>
      <c r="AX1507" s="2209" t="s">
        <v>3213</v>
      </c>
      <c r="AY1507" s="2211" t="s">
        <v>3285</v>
      </c>
    </row>
    <row r="1508" spans="2:65" s="2216" customFormat="1">
      <c r="B1508" s="2217"/>
      <c r="C1508" s="5574"/>
      <c r="D1508" s="2197" t="s">
        <v>3303</v>
      </c>
      <c r="E1508" s="2218" t="s">
        <v>3146</v>
      </c>
      <c r="F1508" s="2219" t="s">
        <v>3306</v>
      </c>
      <c r="H1508" s="2220">
        <v>23.14</v>
      </c>
      <c r="L1508" s="2217"/>
      <c r="M1508" s="2221"/>
      <c r="T1508" s="2222"/>
      <c r="AT1508" s="2218" t="s">
        <v>3303</v>
      </c>
      <c r="AU1508" s="2218" t="s">
        <v>134</v>
      </c>
      <c r="AV1508" s="2216" t="s">
        <v>856</v>
      </c>
      <c r="AW1508" s="2216" t="s">
        <v>3171</v>
      </c>
      <c r="AX1508" s="2216" t="s">
        <v>133</v>
      </c>
      <c r="AY1508" s="2218" t="s">
        <v>3285</v>
      </c>
    </row>
    <row r="1509" spans="2:65" s="2209" customFormat="1">
      <c r="B1509" s="2210"/>
      <c r="C1509" s="5574"/>
      <c r="D1509" s="2197" t="s">
        <v>3303</v>
      </c>
      <c r="F1509" s="2212" t="s">
        <v>5643</v>
      </c>
      <c r="H1509" s="2213">
        <v>28.925000000000001</v>
      </c>
      <c r="L1509" s="2210"/>
      <c r="M1509" s="2214"/>
      <c r="T1509" s="2215"/>
      <c r="AT1509" s="2211" t="s">
        <v>3303</v>
      </c>
      <c r="AU1509" s="2211" t="s">
        <v>134</v>
      </c>
      <c r="AV1509" s="2209" t="s">
        <v>134</v>
      </c>
      <c r="AW1509" s="2209" t="s">
        <v>3148</v>
      </c>
      <c r="AX1509" s="2209" t="s">
        <v>133</v>
      </c>
      <c r="AY1509" s="2211" t="s">
        <v>3285</v>
      </c>
    </row>
    <row r="1510" spans="2:65" s="2070" customFormat="1" ht="24.2" customHeight="1">
      <c r="B1510" s="2164"/>
      <c r="C1510" s="5609" t="s">
        <v>11411</v>
      </c>
      <c r="D1510" s="4614" t="s">
        <v>135</v>
      </c>
      <c r="E1510" s="4615" t="s">
        <v>5629</v>
      </c>
      <c r="F1510" s="4616" t="s">
        <v>5630</v>
      </c>
      <c r="G1510" s="4617" t="s">
        <v>611</v>
      </c>
      <c r="H1510" s="4618">
        <v>45.424999999999997</v>
      </c>
      <c r="I1510" s="5874" t="s">
        <v>11555</v>
      </c>
      <c r="J1510" s="5875"/>
      <c r="K1510" s="4616" t="s">
        <v>142</v>
      </c>
      <c r="L1510" s="2223"/>
      <c r="M1510" s="2224" t="s">
        <v>3146</v>
      </c>
      <c r="N1510" s="2225" t="s">
        <v>3181</v>
      </c>
      <c r="O1510" s="2191">
        <v>0</v>
      </c>
      <c r="P1510" s="2191">
        <f>O1510*H1510</f>
        <v>0</v>
      </c>
      <c r="Q1510" s="2191">
        <v>3.8289999999999998E-2</v>
      </c>
      <c r="R1510" s="2191">
        <f>Q1510*H1510</f>
        <v>1.7393232499999998</v>
      </c>
      <c r="S1510" s="2191">
        <v>0</v>
      </c>
      <c r="T1510" s="2192">
        <f>S1510*H1510</f>
        <v>0</v>
      </c>
      <c r="AR1510" s="2193" t="s">
        <v>3389</v>
      </c>
      <c r="AT1510" s="2193" t="s">
        <v>135</v>
      </c>
      <c r="AU1510" s="2193" t="s">
        <v>134</v>
      </c>
      <c r="AY1510" s="2056" t="s">
        <v>3285</v>
      </c>
      <c r="BE1510" s="2194">
        <f>IF(N1510="základní",J1510,0)</f>
        <v>0</v>
      </c>
      <c r="BF1510" s="2194">
        <f>IF(N1510="snížená",J1510,0)</f>
        <v>0</v>
      </c>
      <c r="BG1510" s="2194">
        <f>IF(N1510="zákl. přenesená",J1510,0)</f>
        <v>0</v>
      </c>
      <c r="BH1510" s="2194">
        <f>IF(N1510="sníž. přenesená",J1510,0)</f>
        <v>0</v>
      </c>
      <c r="BI1510" s="2194">
        <f>IF(N1510="nulová",J1510,0)</f>
        <v>0</v>
      </c>
      <c r="BJ1510" s="2056" t="s">
        <v>134</v>
      </c>
      <c r="BK1510" s="2194">
        <v>0</v>
      </c>
      <c r="BL1510" s="2056" t="s">
        <v>2894</v>
      </c>
      <c r="BM1510" s="2193" t="s">
        <v>5644</v>
      </c>
    </row>
    <row r="1511" spans="2:65" s="2195" customFormat="1">
      <c r="B1511" s="2196"/>
      <c r="C1511" s="5574"/>
      <c r="D1511" s="2197" t="s">
        <v>3303</v>
      </c>
      <c r="E1511" s="2198" t="s">
        <v>3146</v>
      </c>
      <c r="F1511" s="2199" t="s">
        <v>5637</v>
      </c>
      <c r="H1511" s="2198" t="s">
        <v>3146</v>
      </c>
      <c r="L1511" s="2196"/>
      <c r="M1511" s="2200"/>
      <c r="T1511" s="2201"/>
      <c r="AT1511" s="2198" t="s">
        <v>3303</v>
      </c>
      <c r="AU1511" s="2198" t="s">
        <v>134</v>
      </c>
      <c r="AV1511" s="2195" t="s">
        <v>133</v>
      </c>
      <c r="AW1511" s="2195" t="s">
        <v>3171</v>
      </c>
      <c r="AX1511" s="2195" t="s">
        <v>3213</v>
      </c>
      <c r="AY1511" s="2198" t="s">
        <v>3285</v>
      </c>
    </row>
    <row r="1512" spans="2:65" s="2209" customFormat="1">
      <c r="B1512" s="2210"/>
      <c r="C1512" s="5574"/>
      <c r="D1512" s="2197" t="s">
        <v>3303</v>
      </c>
      <c r="E1512" s="2211" t="s">
        <v>3146</v>
      </c>
      <c r="F1512" s="2212" t="s">
        <v>5638</v>
      </c>
      <c r="H1512" s="2213">
        <v>22</v>
      </c>
      <c r="L1512" s="2210"/>
      <c r="M1512" s="2214"/>
      <c r="T1512" s="2215"/>
      <c r="AT1512" s="2211" t="s">
        <v>3303</v>
      </c>
      <c r="AU1512" s="2211" t="s">
        <v>134</v>
      </c>
      <c r="AV1512" s="2209" t="s">
        <v>134</v>
      </c>
      <c r="AW1512" s="2209" t="s">
        <v>3171</v>
      </c>
      <c r="AX1512" s="2209" t="s">
        <v>3213</v>
      </c>
      <c r="AY1512" s="2211" t="s">
        <v>3285</v>
      </c>
    </row>
    <row r="1513" spans="2:65" s="2209" customFormat="1">
      <c r="B1513" s="2210"/>
      <c r="C1513" s="5574"/>
      <c r="D1513" s="2197" t="s">
        <v>3303</v>
      </c>
      <c r="E1513" s="2211" t="s">
        <v>3146</v>
      </c>
      <c r="F1513" s="2212" t="s">
        <v>5639</v>
      </c>
      <c r="H1513" s="2213">
        <v>14.34</v>
      </c>
      <c r="L1513" s="2210"/>
      <c r="M1513" s="2214"/>
      <c r="T1513" s="2215"/>
      <c r="AT1513" s="2211" t="s">
        <v>3303</v>
      </c>
      <c r="AU1513" s="2211" t="s">
        <v>134</v>
      </c>
      <c r="AV1513" s="2209" t="s">
        <v>134</v>
      </c>
      <c r="AW1513" s="2209" t="s">
        <v>3171</v>
      </c>
      <c r="AX1513" s="2209" t="s">
        <v>3213</v>
      </c>
      <c r="AY1513" s="2211" t="s">
        <v>3285</v>
      </c>
    </row>
    <row r="1514" spans="2:65" s="2202" customFormat="1">
      <c r="B1514" s="2203"/>
      <c r="C1514" s="5574"/>
      <c r="D1514" s="2197" t="s">
        <v>3303</v>
      </c>
      <c r="E1514" s="2204" t="s">
        <v>3146</v>
      </c>
      <c r="F1514" s="2205" t="s">
        <v>3305</v>
      </c>
      <c r="H1514" s="2206">
        <v>36.340000000000003</v>
      </c>
      <c r="L1514" s="2203"/>
      <c r="M1514" s="2207"/>
      <c r="T1514" s="2208"/>
      <c r="AT1514" s="2204" t="s">
        <v>3303</v>
      </c>
      <c r="AU1514" s="2204" t="s">
        <v>134</v>
      </c>
      <c r="AV1514" s="2202" t="s">
        <v>854</v>
      </c>
      <c r="AW1514" s="2202" t="s">
        <v>3171</v>
      </c>
      <c r="AX1514" s="2202" t="s">
        <v>3213</v>
      </c>
      <c r="AY1514" s="2204" t="s">
        <v>3285</v>
      </c>
    </row>
    <row r="1515" spans="2:65" s="2216" customFormat="1">
      <c r="B1515" s="2217"/>
      <c r="C1515" s="5574"/>
      <c r="D1515" s="2197" t="s">
        <v>3303</v>
      </c>
      <c r="E1515" s="2218" t="s">
        <v>3146</v>
      </c>
      <c r="F1515" s="2219" t="s">
        <v>3306</v>
      </c>
      <c r="H1515" s="2220">
        <v>36.340000000000003</v>
      </c>
      <c r="L1515" s="2217"/>
      <c r="M1515" s="2221"/>
      <c r="T1515" s="2222"/>
      <c r="AT1515" s="2218" t="s">
        <v>3303</v>
      </c>
      <c r="AU1515" s="2218" t="s">
        <v>134</v>
      </c>
      <c r="AV1515" s="2216" t="s">
        <v>856</v>
      </c>
      <c r="AW1515" s="2216" t="s">
        <v>3171</v>
      </c>
      <c r="AX1515" s="2216" t="s">
        <v>133</v>
      </c>
      <c r="AY1515" s="2218" t="s">
        <v>3285</v>
      </c>
    </row>
    <row r="1516" spans="2:65" s="2209" customFormat="1">
      <c r="B1516" s="2210"/>
      <c r="C1516" s="5574"/>
      <c r="D1516" s="2197" t="s">
        <v>3303</v>
      </c>
      <c r="F1516" s="2212" t="s">
        <v>5645</v>
      </c>
      <c r="H1516" s="2213">
        <v>45.424999999999997</v>
      </c>
      <c r="L1516" s="2210"/>
      <c r="M1516" s="2214"/>
      <c r="T1516" s="2215"/>
      <c r="AT1516" s="2211" t="s">
        <v>3303</v>
      </c>
      <c r="AU1516" s="2211" t="s">
        <v>134</v>
      </c>
      <c r="AV1516" s="2209" t="s">
        <v>134</v>
      </c>
      <c r="AW1516" s="2209" t="s">
        <v>3148</v>
      </c>
      <c r="AX1516" s="2209" t="s">
        <v>133</v>
      </c>
      <c r="AY1516" s="2211" t="s">
        <v>3285</v>
      </c>
    </row>
    <row r="1517" spans="2:65" s="2070" customFormat="1" ht="16.5" customHeight="1">
      <c r="B1517" s="2164"/>
      <c r="C1517" s="5561" t="s">
        <v>11412</v>
      </c>
      <c r="D1517" s="4608" t="s">
        <v>3286</v>
      </c>
      <c r="E1517" s="4609" t="s">
        <v>5646</v>
      </c>
      <c r="F1517" s="4610" t="s">
        <v>5647</v>
      </c>
      <c r="G1517" s="4611" t="s">
        <v>611</v>
      </c>
      <c r="H1517" s="4612">
        <v>21.71</v>
      </c>
      <c r="I1517" s="5874" t="s">
        <v>11555</v>
      </c>
      <c r="J1517" s="5875"/>
      <c r="K1517" s="4610" t="s">
        <v>142</v>
      </c>
      <c r="L1517" s="2071"/>
      <c r="M1517" s="2190" t="s">
        <v>3146</v>
      </c>
      <c r="N1517" s="2163" t="s">
        <v>3181</v>
      </c>
      <c r="O1517" s="2191">
        <v>1.042</v>
      </c>
      <c r="P1517" s="2191">
        <f>O1517*H1517</f>
        <v>22.621820000000003</v>
      </c>
      <c r="Q1517" s="2191">
        <v>1.4999999999999999E-4</v>
      </c>
      <c r="R1517" s="2191">
        <f>Q1517*H1517</f>
        <v>3.2564999999999998E-3</v>
      </c>
      <c r="S1517" s="2191">
        <v>0</v>
      </c>
      <c r="T1517" s="2192">
        <f>S1517*H1517</f>
        <v>0</v>
      </c>
      <c r="AR1517" s="2193" t="s">
        <v>2894</v>
      </c>
      <c r="AT1517" s="2193" t="s">
        <v>3286</v>
      </c>
      <c r="AU1517" s="2193" t="s">
        <v>134</v>
      </c>
      <c r="AY1517" s="2056" t="s">
        <v>3285</v>
      </c>
      <c r="BE1517" s="2194">
        <f>IF(N1517="základní",J1517,0)</f>
        <v>0</v>
      </c>
      <c r="BF1517" s="2194">
        <f>IF(N1517="snížená",J1517,0)</f>
        <v>0</v>
      </c>
      <c r="BG1517" s="2194">
        <f>IF(N1517="zákl. přenesená",J1517,0)</f>
        <v>0</v>
      </c>
      <c r="BH1517" s="2194">
        <f>IF(N1517="sníž. přenesená",J1517,0)</f>
        <v>0</v>
      </c>
      <c r="BI1517" s="2194">
        <f>IF(N1517="nulová",J1517,0)</f>
        <v>0</v>
      </c>
      <c r="BJ1517" s="2056" t="s">
        <v>134</v>
      </c>
      <c r="BK1517" s="2194">
        <v>0</v>
      </c>
      <c r="BL1517" s="2056" t="s">
        <v>2894</v>
      </c>
      <c r="BM1517" s="2193" t="s">
        <v>5648</v>
      </c>
    </row>
    <row r="1518" spans="2:65" s="2195" customFormat="1">
      <c r="B1518" s="2196"/>
      <c r="C1518" s="5574"/>
      <c r="D1518" s="2197" t="s">
        <v>3303</v>
      </c>
      <c r="E1518" s="2198" t="s">
        <v>3146</v>
      </c>
      <c r="F1518" s="2199" t="s">
        <v>5524</v>
      </c>
      <c r="H1518" s="2198" t="s">
        <v>3146</v>
      </c>
      <c r="L1518" s="2196"/>
      <c r="M1518" s="2200"/>
      <c r="T1518" s="2201"/>
      <c r="AT1518" s="2198" t="s">
        <v>3303</v>
      </c>
      <c r="AU1518" s="2198" t="s">
        <v>134</v>
      </c>
      <c r="AV1518" s="2195" t="s">
        <v>133</v>
      </c>
      <c r="AW1518" s="2195" t="s">
        <v>3171</v>
      </c>
      <c r="AX1518" s="2195" t="s">
        <v>3213</v>
      </c>
      <c r="AY1518" s="2198" t="s">
        <v>3285</v>
      </c>
    </row>
    <row r="1519" spans="2:65" s="2209" customFormat="1">
      <c r="B1519" s="2210"/>
      <c r="C1519" s="5574"/>
      <c r="D1519" s="2197" t="s">
        <v>3303</v>
      </c>
      <c r="E1519" s="2211" t="s">
        <v>3146</v>
      </c>
      <c r="F1519" s="2212" t="s">
        <v>5649</v>
      </c>
      <c r="H1519" s="2213">
        <v>21.71</v>
      </c>
      <c r="L1519" s="2210"/>
      <c r="M1519" s="2214"/>
      <c r="T1519" s="2215"/>
      <c r="AT1519" s="2211" t="s">
        <v>3303</v>
      </c>
      <c r="AU1519" s="2211" t="s">
        <v>134</v>
      </c>
      <c r="AV1519" s="2209" t="s">
        <v>134</v>
      </c>
      <c r="AW1519" s="2209" t="s">
        <v>3171</v>
      </c>
      <c r="AX1519" s="2209" t="s">
        <v>3213</v>
      </c>
      <c r="AY1519" s="2211" t="s">
        <v>3285</v>
      </c>
    </row>
    <row r="1520" spans="2:65" s="2216" customFormat="1">
      <c r="B1520" s="2217"/>
      <c r="C1520" s="5574"/>
      <c r="D1520" s="2197" t="s">
        <v>3303</v>
      </c>
      <c r="E1520" s="2218" t="s">
        <v>3146</v>
      </c>
      <c r="F1520" s="2219" t="s">
        <v>3306</v>
      </c>
      <c r="H1520" s="2220">
        <v>21.71</v>
      </c>
      <c r="L1520" s="2217"/>
      <c r="M1520" s="2221"/>
      <c r="T1520" s="2222"/>
      <c r="AT1520" s="2218" t="s">
        <v>3303</v>
      </c>
      <c r="AU1520" s="2218" t="s">
        <v>134</v>
      </c>
      <c r="AV1520" s="2216" t="s">
        <v>856</v>
      </c>
      <c r="AW1520" s="2216" t="s">
        <v>3171</v>
      </c>
      <c r="AX1520" s="2216" t="s">
        <v>133</v>
      </c>
      <c r="AY1520" s="2218" t="s">
        <v>3285</v>
      </c>
    </row>
    <row r="1521" spans="2:65" s="2070" customFormat="1" ht="24.2" customHeight="1">
      <c r="B1521" s="2164"/>
      <c r="C1521" s="5609" t="s">
        <v>11413</v>
      </c>
      <c r="D1521" s="4614" t="s">
        <v>135</v>
      </c>
      <c r="E1521" s="4615" t="s">
        <v>5640</v>
      </c>
      <c r="F1521" s="4616" t="s">
        <v>5641</v>
      </c>
      <c r="G1521" s="4617" t="s">
        <v>611</v>
      </c>
      <c r="H1521" s="4618">
        <v>27.138000000000002</v>
      </c>
      <c r="I1521" s="5874" t="s">
        <v>11555</v>
      </c>
      <c r="J1521" s="5875"/>
      <c r="K1521" s="4616" t="s">
        <v>142</v>
      </c>
      <c r="L1521" s="2223"/>
      <c r="M1521" s="2224" t="s">
        <v>3146</v>
      </c>
      <c r="N1521" s="2225" t="s">
        <v>3181</v>
      </c>
      <c r="O1521" s="2191">
        <v>0</v>
      </c>
      <c r="P1521" s="2191">
        <f>O1521*H1521</f>
        <v>0</v>
      </c>
      <c r="Q1521" s="2191">
        <v>3.8289999999999998E-2</v>
      </c>
      <c r="R1521" s="2191">
        <f>Q1521*H1521</f>
        <v>1.03911402</v>
      </c>
      <c r="S1521" s="2191">
        <v>0</v>
      </c>
      <c r="T1521" s="2192">
        <f>S1521*H1521</f>
        <v>0</v>
      </c>
      <c r="AR1521" s="2193" t="s">
        <v>3389</v>
      </c>
      <c r="AT1521" s="2193" t="s">
        <v>135</v>
      </c>
      <c r="AU1521" s="2193" t="s">
        <v>134</v>
      </c>
      <c r="AY1521" s="2056" t="s">
        <v>3285</v>
      </c>
      <c r="BE1521" s="2194">
        <f>IF(N1521="základní",J1521,0)</f>
        <v>0</v>
      </c>
      <c r="BF1521" s="2194">
        <f>IF(N1521="snížená",J1521,0)</f>
        <v>0</v>
      </c>
      <c r="BG1521" s="2194">
        <f>IF(N1521="zákl. přenesená",J1521,0)</f>
        <v>0</v>
      </c>
      <c r="BH1521" s="2194">
        <f>IF(N1521="sníž. přenesená",J1521,0)</f>
        <v>0</v>
      </c>
      <c r="BI1521" s="2194">
        <f>IF(N1521="nulová",J1521,0)</f>
        <v>0</v>
      </c>
      <c r="BJ1521" s="2056" t="s">
        <v>134</v>
      </c>
      <c r="BK1521" s="2194">
        <v>0</v>
      </c>
      <c r="BL1521" s="2056" t="s">
        <v>2894</v>
      </c>
      <c r="BM1521" s="2193" t="s">
        <v>5650</v>
      </c>
    </row>
    <row r="1522" spans="2:65" s="2195" customFormat="1">
      <c r="B1522" s="2196"/>
      <c r="C1522" s="5574"/>
      <c r="D1522" s="2197" t="s">
        <v>3303</v>
      </c>
      <c r="E1522" s="2198" t="s">
        <v>3146</v>
      </c>
      <c r="F1522" s="2199" t="s">
        <v>5524</v>
      </c>
      <c r="H1522" s="2198" t="s">
        <v>3146</v>
      </c>
      <c r="L1522" s="2196"/>
      <c r="M1522" s="2200"/>
      <c r="T1522" s="2201"/>
      <c r="AT1522" s="2198" t="s">
        <v>3303</v>
      </c>
      <c r="AU1522" s="2198" t="s">
        <v>134</v>
      </c>
      <c r="AV1522" s="2195" t="s">
        <v>133</v>
      </c>
      <c r="AW1522" s="2195" t="s">
        <v>3171</v>
      </c>
      <c r="AX1522" s="2195" t="s">
        <v>3213</v>
      </c>
      <c r="AY1522" s="2198" t="s">
        <v>3285</v>
      </c>
    </row>
    <row r="1523" spans="2:65" s="2209" customFormat="1">
      <c r="B1523" s="2210"/>
      <c r="C1523" s="5574"/>
      <c r="D1523" s="2197" t="s">
        <v>3303</v>
      </c>
      <c r="E1523" s="2211" t="s">
        <v>3146</v>
      </c>
      <c r="F1523" s="2212" t="s">
        <v>5649</v>
      </c>
      <c r="H1523" s="2213">
        <v>21.71</v>
      </c>
      <c r="L1523" s="2210"/>
      <c r="M1523" s="2214"/>
      <c r="T1523" s="2215"/>
      <c r="AT1523" s="2211" t="s">
        <v>3303</v>
      </c>
      <c r="AU1523" s="2211" t="s">
        <v>134</v>
      </c>
      <c r="AV1523" s="2209" t="s">
        <v>134</v>
      </c>
      <c r="AW1523" s="2209" t="s">
        <v>3171</v>
      </c>
      <c r="AX1523" s="2209" t="s">
        <v>3213</v>
      </c>
      <c r="AY1523" s="2211" t="s">
        <v>3285</v>
      </c>
    </row>
    <row r="1524" spans="2:65" s="2216" customFormat="1">
      <c r="B1524" s="2217"/>
      <c r="C1524" s="5574"/>
      <c r="D1524" s="2197" t="s">
        <v>3303</v>
      </c>
      <c r="E1524" s="2218" t="s">
        <v>3146</v>
      </c>
      <c r="F1524" s="2219" t="s">
        <v>3306</v>
      </c>
      <c r="H1524" s="2220">
        <v>21.71</v>
      </c>
      <c r="L1524" s="2217"/>
      <c r="M1524" s="2221"/>
      <c r="T1524" s="2222"/>
      <c r="AT1524" s="2218" t="s">
        <v>3303</v>
      </c>
      <c r="AU1524" s="2218" t="s">
        <v>134</v>
      </c>
      <c r="AV1524" s="2216" t="s">
        <v>856</v>
      </c>
      <c r="AW1524" s="2216" t="s">
        <v>3171</v>
      </c>
      <c r="AX1524" s="2216" t="s">
        <v>133</v>
      </c>
      <c r="AY1524" s="2218" t="s">
        <v>3285</v>
      </c>
    </row>
    <row r="1525" spans="2:65" s="2209" customFormat="1">
      <c r="B1525" s="2210"/>
      <c r="C1525" s="5574"/>
      <c r="D1525" s="2197" t="s">
        <v>3303</v>
      </c>
      <c r="F1525" s="2212" t="s">
        <v>5651</v>
      </c>
      <c r="H1525" s="2213">
        <v>27.138000000000002</v>
      </c>
      <c r="L1525" s="2210"/>
      <c r="M1525" s="2214"/>
      <c r="T1525" s="2215"/>
      <c r="AT1525" s="2211" t="s">
        <v>3303</v>
      </c>
      <c r="AU1525" s="2211" t="s">
        <v>134</v>
      </c>
      <c r="AV1525" s="2209" t="s">
        <v>134</v>
      </c>
      <c r="AW1525" s="2209" t="s">
        <v>3148</v>
      </c>
      <c r="AX1525" s="2209" t="s">
        <v>133</v>
      </c>
      <c r="AY1525" s="2211" t="s">
        <v>3285</v>
      </c>
    </row>
    <row r="1526" spans="2:65" s="2070" customFormat="1" ht="16.5" customHeight="1">
      <c r="B1526" s="2164"/>
      <c r="C1526" s="5561" t="s">
        <v>11414</v>
      </c>
      <c r="D1526" s="4608" t="s">
        <v>3286</v>
      </c>
      <c r="E1526" s="4609" t="s">
        <v>5652</v>
      </c>
      <c r="F1526" s="4610" t="s">
        <v>5653</v>
      </c>
      <c r="G1526" s="4611" t="s">
        <v>611</v>
      </c>
      <c r="H1526" s="4612">
        <v>5.48</v>
      </c>
      <c r="I1526" s="5874" t="s">
        <v>11555</v>
      </c>
      <c r="J1526" s="5875"/>
      <c r="K1526" s="4610" t="s">
        <v>142</v>
      </c>
      <c r="L1526" s="2071"/>
      <c r="M1526" s="2190" t="s">
        <v>3146</v>
      </c>
      <c r="N1526" s="2163" t="s">
        <v>3181</v>
      </c>
      <c r="O1526" s="2191">
        <v>1.323</v>
      </c>
      <c r="P1526" s="2191">
        <f>O1526*H1526</f>
        <v>7.2500400000000003</v>
      </c>
      <c r="Q1526" s="2191">
        <v>2.0000000000000001E-4</v>
      </c>
      <c r="R1526" s="2191">
        <f>Q1526*H1526</f>
        <v>1.0960000000000002E-3</v>
      </c>
      <c r="S1526" s="2191">
        <v>0</v>
      </c>
      <c r="T1526" s="2192">
        <f>S1526*H1526</f>
        <v>0</v>
      </c>
      <c r="AR1526" s="2193" t="s">
        <v>2894</v>
      </c>
      <c r="AT1526" s="2193" t="s">
        <v>3286</v>
      </c>
      <c r="AU1526" s="2193" t="s">
        <v>134</v>
      </c>
      <c r="AY1526" s="2056" t="s">
        <v>3285</v>
      </c>
      <c r="BE1526" s="2194">
        <f>IF(N1526="základní",J1526,0)</f>
        <v>0</v>
      </c>
      <c r="BF1526" s="2194">
        <f>IF(N1526="snížená",J1526,0)</f>
        <v>0</v>
      </c>
      <c r="BG1526" s="2194">
        <f>IF(N1526="zákl. přenesená",J1526,0)</f>
        <v>0</v>
      </c>
      <c r="BH1526" s="2194">
        <f>IF(N1526="sníž. přenesená",J1526,0)</f>
        <v>0</v>
      </c>
      <c r="BI1526" s="2194">
        <f>IF(N1526="nulová",J1526,0)</f>
        <v>0</v>
      </c>
      <c r="BJ1526" s="2056" t="s">
        <v>134</v>
      </c>
      <c r="BK1526" s="2194">
        <v>0</v>
      </c>
      <c r="BL1526" s="2056" t="s">
        <v>2894</v>
      </c>
      <c r="BM1526" s="2193" t="s">
        <v>5654</v>
      </c>
    </row>
    <row r="1527" spans="2:65" s="2195" customFormat="1">
      <c r="B1527" s="2196"/>
      <c r="C1527" s="5574"/>
      <c r="D1527" s="2197" t="s">
        <v>3303</v>
      </c>
      <c r="E1527" s="2198" t="s">
        <v>3146</v>
      </c>
      <c r="F1527" s="2199" t="s">
        <v>5544</v>
      </c>
      <c r="H1527" s="2198" t="s">
        <v>3146</v>
      </c>
      <c r="L1527" s="2196"/>
      <c r="M1527" s="2200"/>
      <c r="T1527" s="2201"/>
      <c r="AT1527" s="2198" t="s">
        <v>3303</v>
      </c>
      <c r="AU1527" s="2198" t="s">
        <v>134</v>
      </c>
      <c r="AV1527" s="2195" t="s">
        <v>133</v>
      </c>
      <c r="AW1527" s="2195" t="s">
        <v>3171</v>
      </c>
      <c r="AX1527" s="2195" t="s">
        <v>3213</v>
      </c>
      <c r="AY1527" s="2198" t="s">
        <v>3285</v>
      </c>
    </row>
    <row r="1528" spans="2:65" s="2209" customFormat="1">
      <c r="B1528" s="2210"/>
      <c r="C1528" s="5574"/>
      <c r="D1528" s="2197" t="s">
        <v>3303</v>
      </c>
      <c r="E1528" s="2211" t="s">
        <v>3146</v>
      </c>
      <c r="F1528" s="2212" t="s">
        <v>5655</v>
      </c>
      <c r="H1528" s="2213">
        <v>5.2</v>
      </c>
      <c r="L1528" s="2210"/>
      <c r="M1528" s="2214"/>
      <c r="T1528" s="2215"/>
      <c r="AT1528" s="2211" t="s">
        <v>3303</v>
      </c>
      <c r="AU1528" s="2211" t="s">
        <v>134</v>
      </c>
      <c r="AV1528" s="2209" t="s">
        <v>134</v>
      </c>
      <c r="AW1528" s="2209" t="s">
        <v>3171</v>
      </c>
      <c r="AX1528" s="2209" t="s">
        <v>3213</v>
      </c>
      <c r="AY1528" s="2211" t="s">
        <v>3285</v>
      </c>
    </row>
    <row r="1529" spans="2:65" s="2209" customFormat="1">
      <c r="B1529" s="2210"/>
      <c r="C1529" s="5574"/>
      <c r="D1529" s="2197" t="s">
        <v>3303</v>
      </c>
      <c r="E1529" s="2211" t="s">
        <v>3146</v>
      </c>
      <c r="F1529" s="2212" t="s">
        <v>5656</v>
      </c>
      <c r="H1529" s="2213">
        <v>-1.89</v>
      </c>
      <c r="L1529" s="2210"/>
      <c r="M1529" s="2214"/>
      <c r="T1529" s="2215"/>
      <c r="AT1529" s="2211" t="s">
        <v>3303</v>
      </c>
      <c r="AU1529" s="2211" t="s">
        <v>134</v>
      </c>
      <c r="AV1529" s="2209" t="s">
        <v>134</v>
      </c>
      <c r="AW1529" s="2209" t="s">
        <v>3171</v>
      </c>
      <c r="AX1529" s="2209" t="s">
        <v>3213</v>
      </c>
      <c r="AY1529" s="2211" t="s">
        <v>3285</v>
      </c>
    </row>
    <row r="1530" spans="2:65" s="2202" customFormat="1">
      <c r="B1530" s="2203"/>
      <c r="C1530" s="5574"/>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65" s="2195" customFormat="1">
      <c r="B1531" s="2196"/>
      <c r="C1531" s="5574"/>
      <c r="D1531" s="2197" t="s">
        <v>3303</v>
      </c>
      <c r="E1531" s="2198" t="s">
        <v>3146</v>
      </c>
      <c r="F1531" s="2199" t="s">
        <v>5556</v>
      </c>
      <c r="H1531" s="2198" t="s">
        <v>3146</v>
      </c>
      <c r="L1531" s="2196"/>
      <c r="M1531" s="2200"/>
      <c r="T1531" s="2201"/>
      <c r="AT1531" s="2198" t="s">
        <v>3303</v>
      </c>
      <c r="AU1531" s="2198" t="s">
        <v>134</v>
      </c>
      <c r="AV1531" s="2195" t="s">
        <v>133</v>
      </c>
      <c r="AW1531" s="2195" t="s">
        <v>3171</v>
      </c>
      <c r="AX1531" s="2195" t="s">
        <v>3213</v>
      </c>
      <c r="AY1531" s="2198" t="s">
        <v>3285</v>
      </c>
    </row>
    <row r="1532" spans="2:65" s="2209" customFormat="1">
      <c r="B1532" s="2210"/>
      <c r="C1532" s="5574"/>
      <c r="D1532" s="2197" t="s">
        <v>3303</v>
      </c>
      <c r="E1532" s="2211" t="s">
        <v>3146</v>
      </c>
      <c r="F1532" s="2212" t="s">
        <v>5657</v>
      </c>
      <c r="H1532" s="2213">
        <v>10.4</v>
      </c>
      <c r="L1532" s="2210"/>
      <c r="M1532" s="2214"/>
      <c r="T1532" s="2215"/>
      <c r="AT1532" s="2211" t="s">
        <v>3303</v>
      </c>
      <c r="AU1532" s="2211" t="s">
        <v>134</v>
      </c>
      <c r="AV1532" s="2209" t="s">
        <v>134</v>
      </c>
      <c r="AW1532" s="2209" t="s">
        <v>3171</v>
      </c>
      <c r="AX1532" s="2209" t="s">
        <v>3213</v>
      </c>
      <c r="AY1532" s="2211" t="s">
        <v>3285</v>
      </c>
    </row>
    <row r="1533" spans="2:65" s="2209" customFormat="1">
      <c r="B1533" s="2210"/>
      <c r="C1533" s="5574"/>
      <c r="D1533" s="2197" t="s">
        <v>3303</v>
      </c>
      <c r="E1533" s="2211" t="s">
        <v>3146</v>
      </c>
      <c r="F1533" s="2212" t="s">
        <v>5658</v>
      </c>
      <c r="H1533" s="2213">
        <v>-3.78</v>
      </c>
      <c r="L1533" s="2210"/>
      <c r="M1533" s="2214"/>
      <c r="T1533" s="2215"/>
      <c r="AT1533" s="2211" t="s">
        <v>3303</v>
      </c>
      <c r="AU1533" s="2211" t="s">
        <v>134</v>
      </c>
      <c r="AV1533" s="2209" t="s">
        <v>134</v>
      </c>
      <c r="AW1533" s="2209" t="s">
        <v>3171</v>
      </c>
      <c r="AX1533" s="2209" t="s">
        <v>3213</v>
      </c>
      <c r="AY1533" s="2211" t="s">
        <v>3285</v>
      </c>
    </row>
    <row r="1534" spans="2:65" s="2202" customFormat="1">
      <c r="B1534" s="2203"/>
      <c r="C1534" s="5574"/>
      <c r="D1534" s="2197" t="s">
        <v>3303</v>
      </c>
      <c r="E1534" s="2204" t="s">
        <v>3146</v>
      </c>
      <c r="F1534" s="2205" t="s">
        <v>3305</v>
      </c>
      <c r="H1534" s="2206">
        <v>6.62</v>
      </c>
      <c r="L1534" s="2203"/>
      <c r="M1534" s="2207"/>
      <c r="T1534" s="2208"/>
      <c r="AT1534" s="2204" t="s">
        <v>3303</v>
      </c>
      <c r="AU1534" s="2204" t="s">
        <v>134</v>
      </c>
      <c r="AV1534" s="2202" t="s">
        <v>854</v>
      </c>
      <c r="AW1534" s="2202" t="s">
        <v>3171</v>
      </c>
      <c r="AX1534" s="2202" t="s">
        <v>3213</v>
      </c>
      <c r="AY1534" s="2204" t="s">
        <v>3285</v>
      </c>
    </row>
    <row r="1535" spans="2:65" s="2195" customFormat="1">
      <c r="B1535" s="2196"/>
      <c r="C1535" s="5574"/>
      <c r="D1535" s="2197" t="s">
        <v>3303</v>
      </c>
      <c r="E1535" s="2198" t="s">
        <v>3146</v>
      </c>
      <c r="F1535" s="2199" t="s">
        <v>5545</v>
      </c>
      <c r="H1535" s="2198" t="s">
        <v>3146</v>
      </c>
      <c r="L1535" s="2196"/>
      <c r="M1535" s="2200"/>
      <c r="T1535" s="2201"/>
      <c r="AT1535" s="2198" t="s">
        <v>3303</v>
      </c>
      <c r="AU1535" s="2198" t="s">
        <v>134</v>
      </c>
      <c r="AV1535" s="2195" t="s">
        <v>133</v>
      </c>
      <c r="AW1535" s="2195" t="s">
        <v>3171</v>
      </c>
      <c r="AX1535" s="2195" t="s">
        <v>3213</v>
      </c>
      <c r="AY1535" s="2198" t="s">
        <v>3285</v>
      </c>
    </row>
    <row r="1536" spans="2:65" s="2209" customFormat="1">
      <c r="B1536" s="2210"/>
      <c r="C1536" s="5574"/>
      <c r="D1536" s="2197" t="s">
        <v>3303</v>
      </c>
      <c r="E1536" s="2211" t="s">
        <v>3146</v>
      </c>
      <c r="F1536" s="2212" t="s">
        <v>5655</v>
      </c>
      <c r="H1536" s="2213">
        <v>5.2</v>
      </c>
      <c r="L1536" s="2210"/>
      <c r="M1536" s="2214"/>
      <c r="T1536" s="2215"/>
      <c r="AT1536" s="2211" t="s">
        <v>3303</v>
      </c>
      <c r="AU1536" s="2211" t="s">
        <v>134</v>
      </c>
      <c r="AV1536" s="2209" t="s">
        <v>134</v>
      </c>
      <c r="AW1536" s="2209" t="s">
        <v>3171</v>
      </c>
      <c r="AX1536" s="2209" t="s">
        <v>3213</v>
      </c>
      <c r="AY1536" s="2211" t="s">
        <v>3285</v>
      </c>
    </row>
    <row r="1537" spans="2:65" s="2209" customFormat="1">
      <c r="B1537" s="2210"/>
      <c r="C1537" s="5574"/>
      <c r="D1537" s="2197" t="s">
        <v>3303</v>
      </c>
      <c r="E1537" s="2211" t="s">
        <v>3146</v>
      </c>
      <c r="F1537" s="2212" t="s">
        <v>5656</v>
      </c>
      <c r="H1537" s="2213">
        <v>-1.89</v>
      </c>
      <c r="L1537" s="2210"/>
      <c r="M1537" s="2214"/>
      <c r="T1537" s="2215"/>
      <c r="AT1537" s="2211" t="s">
        <v>3303</v>
      </c>
      <c r="AU1537" s="2211" t="s">
        <v>134</v>
      </c>
      <c r="AV1537" s="2209" t="s">
        <v>134</v>
      </c>
      <c r="AW1537" s="2209" t="s">
        <v>3171</v>
      </c>
      <c r="AX1537" s="2209" t="s">
        <v>3213</v>
      </c>
      <c r="AY1537" s="2211" t="s">
        <v>3285</v>
      </c>
    </row>
    <row r="1538" spans="2:65" s="2202" customFormat="1">
      <c r="B1538" s="2203"/>
      <c r="C1538" s="5574"/>
      <c r="D1538" s="2197" t="s">
        <v>3303</v>
      </c>
      <c r="E1538" s="2204" t="s">
        <v>3146</v>
      </c>
      <c r="F1538" s="2205" t="s">
        <v>3305</v>
      </c>
      <c r="H1538" s="2206">
        <v>3.31</v>
      </c>
      <c r="L1538" s="2203"/>
      <c r="M1538" s="2207"/>
      <c r="T1538" s="2208"/>
      <c r="AT1538" s="2204" t="s">
        <v>3303</v>
      </c>
      <c r="AU1538" s="2204" t="s">
        <v>134</v>
      </c>
      <c r="AV1538" s="2202" t="s">
        <v>854</v>
      </c>
      <c r="AW1538" s="2202" t="s">
        <v>3171</v>
      </c>
      <c r="AX1538" s="2202" t="s">
        <v>3213</v>
      </c>
      <c r="AY1538" s="2204" t="s">
        <v>3285</v>
      </c>
    </row>
    <row r="1539" spans="2:65" s="2195" customFormat="1">
      <c r="B1539" s="2196"/>
      <c r="C1539" s="5574"/>
      <c r="D1539" s="2197" t="s">
        <v>3303</v>
      </c>
      <c r="E1539" s="2198" t="s">
        <v>3146</v>
      </c>
      <c r="F1539" s="2199" t="s">
        <v>5546</v>
      </c>
      <c r="H1539" s="2198" t="s">
        <v>3146</v>
      </c>
      <c r="L1539" s="2196"/>
      <c r="M1539" s="2200"/>
      <c r="T1539" s="2201"/>
      <c r="AT1539" s="2198" t="s">
        <v>3303</v>
      </c>
      <c r="AU1539" s="2198" t="s">
        <v>134</v>
      </c>
      <c r="AV1539" s="2195" t="s">
        <v>133</v>
      </c>
      <c r="AW1539" s="2195" t="s">
        <v>3171</v>
      </c>
      <c r="AX1539" s="2195" t="s">
        <v>3213</v>
      </c>
      <c r="AY1539" s="2198" t="s">
        <v>3285</v>
      </c>
    </row>
    <row r="1540" spans="2:65" s="2209" customFormat="1">
      <c r="B1540" s="2210"/>
      <c r="C1540" s="5574"/>
      <c r="D1540" s="2197" t="s">
        <v>3303</v>
      </c>
      <c r="E1540" s="2211" t="s">
        <v>3146</v>
      </c>
      <c r="F1540" s="2212" t="s">
        <v>5655</v>
      </c>
      <c r="H1540" s="2213">
        <v>5.2</v>
      </c>
      <c r="L1540" s="2210"/>
      <c r="M1540" s="2214"/>
      <c r="T1540" s="2215"/>
      <c r="AT1540" s="2211" t="s">
        <v>3303</v>
      </c>
      <c r="AU1540" s="2211" t="s">
        <v>134</v>
      </c>
      <c r="AV1540" s="2209" t="s">
        <v>134</v>
      </c>
      <c r="AW1540" s="2209" t="s">
        <v>3171</v>
      </c>
      <c r="AX1540" s="2209" t="s">
        <v>3213</v>
      </c>
      <c r="AY1540" s="2211" t="s">
        <v>3285</v>
      </c>
    </row>
    <row r="1541" spans="2:65" s="2209" customFormat="1">
      <c r="B1541" s="2210"/>
      <c r="C1541" s="5574"/>
      <c r="D1541" s="2197" t="s">
        <v>3303</v>
      </c>
      <c r="E1541" s="2211" t="s">
        <v>3146</v>
      </c>
      <c r="F1541" s="2212" t="s">
        <v>5656</v>
      </c>
      <c r="H1541" s="2213">
        <v>-1.89</v>
      </c>
      <c r="L1541" s="2210"/>
      <c r="M1541" s="2214"/>
      <c r="T1541" s="2215"/>
      <c r="AT1541" s="2211" t="s">
        <v>3303</v>
      </c>
      <c r="AU1541" s="2211" t="s">
        <v>134</v>
      </c>
      <c r="AV1541" s="2209" t="s">
        <v>134</v>
      </c>
      <c r="AW1541" s="2209" t="s">
        <v>3171</v>
      </c>
      <c r="AX1541" s="2209" t="s">
        <v>3213</v>
      </c>
      <c r="AY1541" s="2211" t="s">
        <v>3285</v>
      </c>
    </row>
    <row r="1542" spans="2:65" s="2202" customFormat="1">
      <c r="B1542" s="2203"/>
      <c r="C1542" s="5574"/>
      <c r="D1542" s="2197" t="s">
        <v>3303</v>
      </c>
      <c r="E1542" s="2204" t="s">
        <v>3146</v>
      </c>
      <c r="F1542" s="2205" t="s">
        <v>3305</v>
      </c>
      <c r="H1542" s="2206">
        <v>3.31</v>
      </c>
      <c r="L1542" s="2203"/>
      <c r="M1542" s="2207"/>
      <c r="T1542" s="2208"/>
      <c r="AT1542" s="2204" t="s">
        <v>3303</v>
      </c>
      <c r="AU1542" s="2204" t="s">
        <v>134</v>
      </c>
      <c r="AV1542" s="2202" t="s">
        <v>854</v>
      </c>
      <c r="AW1542" s="2202" t="s">
        <v>3171</v>
      </c>
      <c r="AX1542" s="2202" t="s">
        <v>3213</v>
      </c>
      <c r="AY1542" s="2204" t="s">
        <v>3285</v>
      </c>
    </row>
    <row r="1543" spans="2:65" s="2195" customFormat="1">
      <c r="B1543" s="2196"/>
      <c r="C1543" s="5574"/>
      <c r="D1543" s="2197" t="s">
        <v>3303</v>
      </c>
      <c r="E1543" s="2198" t="s">
        <v>3146</v>
      </c>
      <c r="F1543" s="2199" t="s">
        <v>5557</v>
      </c>
      <c r="H1543" s="2198" t="s">
        <v>3146</v>
      </c>
      <c r="L1543" s="2196"/>
      <c r="M1543" s="2200"/>
      <c r="T1543" s="2201"/>
      <c r="AT1543" s="2198" t="s">
        <v>3303</v>
      </c>
      <c r="AU1543" s="2198" t="s">
        <v>134</v>
      </c>
      <c r="AV1543" s="2195" t="s">
        <v>133</v>
      </c>
      <c r="AW1543" s="2195" t="s">
        <v>3171</v>
      </c>
      <c r="AX1543" s="2195" t="s">
        <v>3213</v>
      </c>
      <c r="AY1543" s="2198" t="s">
        <v>3285</v>
      </c>
    </row>
    <row r="1544" spans="2:65" s="2209" customFormat="1">
      <c r="B1544" s="2210"/>
      <c r="C1544" s="5574"/>
      <c r="D1544" s="2197" t="s">
        <v>3303</v>
      </c>
      <c r="E1544" s="2211" t="s">
        <v>3146</v>
      </c>
      <c r="F1544" s="2212" t="s">
        <v>5659</v>
      </c>
      <c r="H1544" s="2213">
        <v>8.84</v>
      </c>
      <c r="L1544" s="2210"/>
      <c r="M1544" s="2214"/>
      <c r="T1544" s="2215"/>
      <c r="AT1544" s="2211" t="s">
        <v>3303</v>
      </c>
      <c r="AU1544" s="2211" t="s">
        <v>134</v>
      </c>
      <c r="AV1544" s="2209" t="s">
        <v>134</v>
      </c>
      <c r="AW1544" s="2209" t="s">
        <v>3171</v>
      </c>
      <c r="AX1544" s="2209" t="s">
        <v>3213</v>
      </c>
      <c r="AY1544" s="2211" t="s">
        <v>3285</v>
      </c>
    </row>
    <row r="1545" spans="2:65" s="2209" customFormat="1">
      <c r="B1545" s="2210"/>
      <c r="C1545" s="5574"/>
      <c r="D1545" s="2197" t="s">
        <v>3303</v>
      </c>
      <c r="E1545" s="2211" t="s">
        <v>3146</v>
      </c>
      <c r="F1545" s="2212" t="s">
        <v>5660</v>
      </c>
      <c r="H1545" s="2213">
        <v>-3.36</v>
      </c>
      <c r="L1545" s="2210"/>
      <c r="M1545" s="2214"/>
      <c r="T1545" s="2215"/>
      <c r="AT1545" s="2211" t="s">
        <v>3303</v>
      </c>
      <c r="AU1545" s="2211" t="s">
        <v>134</v>
      </c>
      <c r="AV1545" s="2209" t="s">
        <v>134</v>
      </c>
      <c r="AW1545" s="2209" t="s">
        <v>3171</v>
      </c>
      <c r="AX1545" s="2209" t="s">
        <v>3213</v>
      </c>
      <c r="AY1545" s="2211" t="s">
        <v>3285</v>
      </c>
    </row>
    <row r="1546" spans="2:65" s="2202" customFormat="1">
      <c r="B1546" s="2203"/>
      <c r="C1546" s="5574"/>
      <c r="D1546" s="2197" t="s">
        <v>3303</v>
      </c>
      <c r="E1546" s="2204" t="s">
        <v>3146</v>
      </c>
      <c r="F1546" s="2205" t="s">
        <v>3305</v>
      </c>
      <c r="H1546" s="2206">
        <v>5.48</v>
      </c>
      <c r="L1546" s="2203"/>
      <c r="M1546" s="2207"/>
      <c r="T1546" s="2208"/>
      <c r="AT1546" s="2204" t="s">
        <v>3303</v>
      </c>
      <c r="AU1546" s="2204" t="s">
        <v>134</v>
      </c>
      <c r="AV1546" s="2202" t="s">
        <v>854</v>
      </c>
      <c r="AW1546" s="2202" t="s">
        <v>3171</v>
      </c>
      <c r="AX1546" s="2202" t="s">
        <v>133</v>
      </c>
      <c r="AY1546" s="2204" t="s">
        <v>3285</v>
      </c>
    </row>
    <row r="1547" spans="2:65" s="2070" customFormat="1" ht="24.2" customHeight="1">
      <c r="B1547" s="2164"/>
      <c r="C1547" s="5609" t="s">
        <v>11415</v>
      </c>
      <c r="D1547" s="4614" t="s">
        <v>135</v>
      </c>
      <c r="E1547" s="4615" t="s">
        <v>5661</v>
      </c>
      <c r="F1547" s="4616" t="s">
        <v>5662</v>
      </c>
      <c r="G1547" s="4617" t="s">
        <v>611</v>
      </c>
      <c r="H1547" s="4618">
        <v>7.3979999999999997</v>
      </c>
      <c r="I1547" s="5874" t="s">
        <v>11555</v>
      </c>
      <c r="J1547" s="5875"/>
      <c r="K1547" s="4616" t="s">
        <v>142</v>
      </c>
      <c r="L1547" s="2223"/>
      <c r="M1547" s="2224" t="s">
        <v>3146</v>
      </c>
      <c r="N1547" s="2225" t="s">
        <v>3181</v>
      </c>
      <c r="O1547" s="2191">
        <v>0</v>
      </c>
      <c r="P1547" s="2191">
        <f>O1547*H1547</f>
        <v>0</v>
      </c>
      <c r="Q1547" s="2191">
        <v>2.6790000000000001E-2</v>
      </c>
      <c r="R1547" s="2191">
        <f>Q1547*H1547</f>
        <v>0.19819242000000001</v>
      </c>
      <c r="S1547" s="2191">
        <v>0</v>
      </c>
      <c r="T1547" s="2192">
        <f>S1547*H1547</f>
        <v>0</v>
      </c>
      <c r="AR1547" s="2193" t="s">
        <v>3389</v>
      </c>
      <c r="AT1547" s="2193" t="s">
        <v>135</v>
      </c>
      <c r="AU1547" s="2193" t="s">
        <v>134</v>
      </c>
      <c r="AY1547" s="2056" t="s">
        <v>3285</v>
      </c>
      <c r="BE1547" s="2194">
        <f>IF(N1547="základní",J1547,0)</f>
        <v>0</v>
      </c>
      <c r="BF1547" s="2194">
        <f>IF(N1547="snížená",J1547,0)</f>
        <v>0</v>
      </c>
      <c r="BG1547" s="2194">
        <f>IF(N1547="zákl. přenesená",J1547,0)</f>
        <v>0</v>
      </c>
      <c r="BH1547" s="2194">
        <f>IF(N1547="sníž. přenesená",J1547,0)</f>
        <v>0</v>
      </c>
      <c r="BI1547" s="2194">
        <f>IF(N1547="nulová",J1547,0)</f>
        <v>0</v>
      </c>
      <c r="BJ1547" s="2056" t="s">
        <v>134</v>
      </c>
      <c r="BK1547" s="2194">
        <v>0</v>
      </c>
      <c r="BL1547" s="2056" t="s">
        <v>2894</v>
      </c>
      <c r="BM1547" s="2193" t="s">
        <v>5663</v>
      </c>
    </row>
    <row r="1548" spans="2:65" s="2209" customFormat="1">
      <c r="B1548" s="2210"/>
      <c r="C1548" s="5574"/>
      <c r="D1548" s="2197" t="s">
        <v>3303</v>
      </c>
      <c r="F1548" s="2212" t="s">
        <v>5664</v>
      </c>
      <c r="H1548" s="2213">
        <v>7.3979999999999997</v>
      </c>
      <c r="L1548" s="2210"/>
      <c r="M1548" s="2214"/>
      <c r="T1548" s="2215"/>
      <c r="AT1548" s="2211" t="s">
        <v>3303</v>
      </c>
      <c r="AU1548" s="2211" t="s">
        <v>134</v>
      </c>
      <c r="AV1548" s="2209" t="s">
        <v>134</v>
      </c>
      <c r="AW1548" s="2209" t="s">
        <v>3148</v>
      </c>
      <c r="AX1548" s="2209" t="s">
        <v>133</v>
      </c>
      <c r="AY1548" s="2211" t="s">
        <v>3285</v>
      </c>
    </row>
    <row r="1549" spans="2:65" s="2070" customFormat="1" ht="24.2" customHeight="1">
      <c r="B1549" s="2164"/>
      <c r="C1549" s="5561" t="s">
        <v>11416</v>
      </c>
      <c r="D1549" s="4608" t="s">
        <v>3286</v>
      </c>
      <c r="E1549" s="4609" t="s">
        <v>5666</v>
      </c>
      <c r="F1549" s="4610" t="s">
        <v>5667</v>
      </c>
      <c r="G1549" s="4611" t="s">
        <v>149</v>
      </c>
      <c r="H1549" s="4612">
        <v>726.57500000000005</v>
      </c>
      <c r="I1549" s="5874" t="s">
        <v>11555</v>
      </c>
      <c r="J1549" s="5875"/>
      <c r="K1549" s="4610" t="s">
        <v>3146</v>
      </c>
      <c r="L1549" s="2071"/>
      <c r="M1549" s="2190" t="s">
        <v>3146</v>
      </c>
      <c r="N1549" s="2163" t="s">
        <v>3181</v>
      </c>
      <c r="O1549" s="2191">
        <v>0.16200000000000001</v>
      </c>
      <c r="P1549" s="2191">
        <f>O1549*H1549</f>
        <v>117.70515000000002</v>
      </c>
      <c r="Q1549" s="2191">
        <v>1.1E-4</v>
      </c>
      <c r="R1549" s="2191">
        <f>Q1549*H1549</f>
        <v>7.9923250000000001E-2</v>
      </c>
      <c r="S1549" s="2191">
        <v>0</v>
      </c>
      <c r="T1549" s="2192">
        <f>S1549*H1549</f>
        <v>0</v>
      </c>
      <c r="AR1549" s="2193" t="s">
        <v>2894</v>
      </c>
      <c r="AT1549" s="2193" t="s">
        <v>3286</v>
      </c>
      <c r="AU1549" s="2193" t="s">
        <v>134</v>
      </c>
      <c r="AY1549" s="2056" t="s">
        <v>3285</v>
      </c>
      <c r="BE1549" s="2194">
        <f>IF(N1549="základní",J1549,0)</f>
        <v>0</v>
      </c>
      <c r="BF1549" s="2194">
        <f>IF(N1549="snížená",J1549,0)</f>
        <v>0</v>
      </c>
      <c r="BG1549" s="2194">
        <f>IF(N1549="zákl. přenesená",J1549,0)</f>
        <v>0</v>
      </c>
      <c r="BH1549" s="2194">
        <f>IF(N1549="sníž. přenesená",J1549,0)</f>
        <v>0</v>
      </c>
      <c r="BI1549" s="2194">
        <f>IF(N1549="nulová",J1549,0)</f>
        <v>0</v>
      </c>
      <c r="BJ1549" s="2056" t="s">
        <v>134</v>
      </c>
      <c r="BK1549" s="2194">
        <v>0</v>
      </c>
      <c r="BL1549" s="2056" t="s">
        <v>2894</v>
      </c>
      <c r="BM1549" s="2193" t="s">
        <v>5668</v>
      </c>
    </row>
    <row r="1550" spans="2:65" s="2195" customFormat="1">
      <c r="B1550" s="2196"/>
      <c r="D1550" s="2197" t="s">
        <v>3303</v>
      </c>
      <c r="E1550" s="2198" t="s">
        <v>3146</v>
      </c>
      <c r="F1550" s="2199" t="s">
        <v>5669</v>
      </c>
      <c r="H1550" s="2198" t="s">
        <v>3146</v>
      </c>
      <c r="L1550" s="2196"/>
      <c r="M1550" s="2200"/>
      <c r="T1550" s="2201"/>
      <c r="AT1550" s="2198" t="s">
        <v>3303</v>
      </c>
      <c r="AU1550" s="2198" t="s">
        <v>134</v>
      </c>
      <c r="AV1550" s="2195" t="s">
        <v>133</v>
      </c>
      <c r="AW1550" s="2195" t="s">
        <v>3171</v>
      </c>
      <c r="AX1550" s="2195" t="s">
        <v>3213</v>
      </c>
      <c r="AY1550" s="2198" t="s">
        <v>3285</v>
      </c>
    </row>
    <row r="1551" spans="2:65" s="2195" customFormat="1">
      <c r="B1551" s="2196"/>
      <c r="D1551" s="2197" t="s">
        <v>3303</v>
      </c>
      <c r="E1551" s="2198" t="s">
        <v>3146</v>
      </c>
      <c r="F1551" s="2199" t="s">
        <v>5670</v>
      </c>
      <c r="H1551" s="2198" t="s">
        <v>3146</v>
      </c>
      <c r="L1551" s="2196"/>
      <c r="M1551" s="2200"/>
      <c r="T1551" s="2201"/>
      <c r="AT1551" s="2198" t="s">
        <v>3303</v>
      </c>
      <c r="AU1551" s="2198" t="s">
        <v>134</v>
      </c>
      <c r="AV1551" s="2195" t="s">
        <v>133</v>
      </c>
      <c r="AW1551" s="2195" t="s">
        <v>3171</v>
      </c>
      <c r="AX1551" s="2195" t="s">
        <v>3213</v>
      </c>
      <c r="AY1551" s="2198" t="s">
        <v>3285</v>
      </c>
    </row>
    <row r="1552" spans="2:65" s="2195" customFormat="1">
      <c r="B1552" s="2196"/>
      <c r="D1552" s="2197" t="s">
        <v>3303</v>
      </c>
      <c r="E1552" s="2198" t="s">
        <v>3146</v>
      </c>
      <c r="F1552" s="2199" t="s">
        <v>11417</v>
      </c>
      <c r="H1552" s="2198" t="s">
        <v>3146</v>
      </c>
      <c r="L1552" s="2196"/>
      <c r="M1552" s="2200"/>
      <c r="T1552" s="2201"/>
      <c r="AT1552" s="2198" t="s">
        <v>3303</v>
      </c>
      <c r="AU1552" s="2198" t="s">
        <v>134</v>
      </c>
      <c r="AV1552" s="2195" t="s">
        <v>133</v>
      </c>
      <c r="AW1552" s="2195" t="s">
        <v>3171</v>
      </c>
      <c r="AX1552" s="2195" t="s">
        <v>3213</v>
      </c>
      <c r="AY1552" s="2198" t="s">
        <v>3285</v>
      </c>
    </row>
    <row r="1553" spans="2:51" s="2195" customFormat="1">
      <c r="B1553" s="2196"/>
      <c r="D1553" s="2197" t="s">
        <v>3303</v>
      </c>
      <c r="E1553" s="2198" t="s">
        <v>3146</v>
      </c>
      <c r="F1553" s="2199" t="s">
        <v>11418</v>
      </c>
      <c r="H1553" s="2198" t="s">
        <v>3146</v>
      </c>
      <c r="L1553" s="2196"/>
      <c r="M1553" s="2200"/>
      <c r="T1553" s="2201"/>
      <c r="AT1553" s="2198" t="s">
        <v>3303</v>
      </c>
      <c r="AU1553" s="2198" t="s">
        <v>134</v>
      </c>
      <c r="AV1553" s="2195" t="s">
        <v>133</v>
      </c>
      <c r="AW1553" s="2195" t="s">
        <v>3171</v>
      </c>
      <c r="AX1553" s="2195" t="s">
        <v>3213</v>
      </c>
      <c r="AY1553" s="2198" t="s">
        <v>3285</v>
      </c>
    </row>
    <row r="1554" spans="2:51" s="2209" customFormat="1">
      <c r="B1554" s="2210"/>
      <c r="D1554" s="2197" t="s">
        <v>3303</v>
      </c>
      <c r="E1554" s="2211" t="s">
        <v>3146</v>
      </c>
      <c r="F1554" s="2212" t="s">
        <v>11419</v>
      </c>
      <c r="H1554" s="2213">
        <v>191.25</v>
      </c>
      <c r="L1554" s="2210"/>
      <c r="M1554" s="2214"/>
      <c r="T1554" s="2215"/>
      <c r="AT1554" s="2211" t="s">
        <v>3303</v>
      </c>
      <c r="AU1554" s="2211" t="s">
        <v>134</v>
      </c>
      <c r="AV1554" s="2209" t="s">
        <v>134</v>
      </c>
      <c r="AW1554" s="2209" t="s">
        <v>3171</v>
      </c>
      <c r="AX1554" s="2209" t="s">
        <v>3213</v>
      </c>
      <c r="AY1554" s="2211" t="s">
        <v>3285</v>
      </c>
    </row>
    <row r="1555" spans="2:51" s="2195" customFormat="1">
      <c r="B1555" s="2196"/>
      <c r="D1555" s="2197" t="s">
        <v>3303</v>
      </c>
      <c r="E1555" s="2198" t="s">
        <v>3146</v>
      </c>
      <c r="F1555" s="2199" t="s">
        <v>11420</v>
      </c>
      <c r="H1555" s="2198" t="s">
        <v>3146</v>
      </c>
      <c r="L1555" s="2196"/>
      <c r="M1555" s="2200"/>
      <c r="T1555" s="2201"/>
      <c r="AT1555" s="2198" t="s">
        <v>3303</v>
      </c>
      <c r="AU1555" s="2198" t="s">
        <v>134</v>
      </c>
      <c r="AV1555" s="2195" t="s">
        <v>133</v>
      </c>
      <c r="AW1555" s="2195" t="s">
        <v>3171</v>
      </c>
      <c r="AX1555" s="2195" t="s">
        <v>3213</v>
      </c>
      <c r="AY1555" s="2198" t="s">
        <v>3285</v>
      </c>
    </row>
    <row r="1556" spans="2:51" s="2209" customFormat="1">
      <c r="B1556" s="2210"/>
      <c r="D1556" s="2197" t="s">
        <v>3303</v>
      </c>
      <c r="E1556" s="2211" t="s">
        <v>3146</v>
      </c>
      <c r="F1556" s="2212" t="s">
        <v>11421</v>
      </c>
      <c r="H1556" s="2213">
        <v>76.233999999999995</v>
      </c>
      <c r="L1556" s="2210"/>
      <c r="M1556" s="2214"/>
      <c r="T1556" s="2215"/>
      <c r="AT1556" s="2211" t="s">
        <v>3303</v>
      </c>
      <c r="AU1556" s="2211" t="s">
        <v>134</v>
      </c>
      <c r="AV1556" s="2209" t="s">
        <v>134</v>
      </c>
      <c r="AW1556" s="2209" t="s">
        <v>3171</v>
      </c>
      <c r="AX1556" s="2209" t="s">
        <v>3213</v>
      </c>
      <c r="AY1556" s="2211" t="s">
        <v>3285</v>
      </c>
    </row>
    <row r="1557" spans="2:51" s="2195" customFormat="1">
      <c r="B1557" s="2196"/>
      <c r="D1557" s="2197" t="s">
        <v>3303</v>
      </c>
      <c r="E1557" s="2198" t="s">
        <v>3146</v>
      </c>
      <c r="F1557" s="2199" t="s">
        <v>11422</v>
      </c>
      <c r="H1557" s="2198" t="s">
        <v>3146</v>
      </c>
      <c r="L1557" s="2196"/>
      <c r="M1557" s="2200"/>
      <c r="T1557" s="2201"/>
      <c r="AT1557" s="2198" t="s">
        <v>3303</v>
      </c>
      <c r="AU1557" s="2198" t="s">
        <v>134</v>
      </c>
      <c r="AV1557" s="2195" t="s">
        <v>133</v>
      </c>
      <c r="AW1557" s="2195" t="s">
        <v>3171</v>
      </c>
      <c r="AX1557" s="2195" t="s">
        <v>3213</v>
      </c>
      <c r="AY1557" s="2198" t="s">
        <v>3285</v>
      </c>
    </row>
    <row r="1558" spans="2:51" s="2209" customFormat="1">
      <c r="B1558" s="2210"/>
      <c r="D1558" s="2197" t="s">
        <v>3303</v>
      </c>
      <c r="E1558" s="2211" t="s">
        <v>3146</v>
      </c>
      <c r="F1558" s="2212" t="s">
        <v>11423</v>
      </c>
      <c r="H1558" s="2213">
        <v>168.93799999999999</v>
      </c>
      <c r="L1558" s="2210"/>
      <c r="M1558" s="2214"/>
      <c r="T1558" s="2215"/>
      <c r="AT1558" s="2211" t="s">
        <v>3303</v>
      </c>
      <c r="AU1558" s="2211" t="s">
        <v>134</v>
      </c>
      <c r="AV1558" s="2209" t="s">
        <v>134</v>
      </c>
      <c r="AW1558" s="2209" t="s">
        <v>3171</v>
      </c>
      <c r="AX1558" s="2209" t="s">
        <v>3213</v>
      </c>
      <c r="AY1558" s="2211" t="s">
        <v>3285</v>
      </c>
    </row>
    <row r="1559" spans="2:51" s="2195" customFormat="1">
      <c r="B1559" s="2196"/>
      <c r="D1559" s="2197" t="s">
        <v>3303</v>
      </c>
      <c r="E1559" s="2198" t="s">
        <v>3146</v>
      </c>
      <c r="F1559" s="2199" t="s">
        <v>11424</v>
      </c>
      <c r="H1559" s="2198" t="s">
        <v>3146</v>
      </c>
      <c r="L1559" s="2196"/>
      <c r="M1559" s="2200"/>
      <c r="T1559" s="2201"/>
      <c r="AT1559" s="2198" t="s">
        <v>3303</v>
      </c>
      <c r="AU1559" s="2198" t="s">
        <v>134</v>
      </c>
      <c r="AV1559" s="2195" t="s">
        <v>133</v>
      </c>
      <c r="AW1559" s="2195" t="s">
        <v>3171</v>
      </c>
      <c r="AX1559" s="2195" t="s">
        <v>3213</v>
      </c>
      <c r="AY1559" s="2198" t="s">
        <v>3285</v>
      </c>
    </row>
    <row r="1560" spans="2:51" s="2209" customFormat="1">
      <c r="B1560" s="2210"/>
      <c r="D1560" s="2197" t="s">
        <v>3303</v>
      </c>
      <c r="E1560" s="2211" t="s">
        <v>3146</v>
      </c>
      <c r="F1560" s="2212" t="s">
        <v>11425</v>
      </c>
      <c r="H1560" s="2213">
        <v>95.625</v>
      </c>
      <c r="L1560" s="2210"/>
      <c r="M1560" s="2214"/>
      <c r="T1560" s="2215"/>
      <c r="AT1560" s="2211" t="s">
        <v>3303</v>
      </c>
      <c r="AU1560" s="2211" t="s">
        <v>134</v>
      </c>
      <c r="AV1560" s="2209" t="s">
        <v>134</v>
      </c>
      <c r="AW1560" s="2209" t="s">
        <v>3171</v>
      </c>
      <c r="AX1560" s="2209" t="s">
        <v>3213</v>
      </c>
      <c r="AY1560" s="2211" t="s">
        <v>3285</v>
      </c>
    </row>
    <row r="1561" spans="2:51" s="2195" customFormat="1">
      <c r="B1561" s="2196"/>
      <c r="D1561" s="2197" t="s">
        <v>3303</v>
      </c>
      <c r="E1561" s="2198" t="s">
        <v>3146</v>
      </c>
      <c r="F1561" s="2199" t="s">
        <v>11426</v>
      </c>
      <c r="H1561" s="2198" t="s">
        <v>3146</v>
      </c>
      <c r="L1561" s="2196"/>
      <c r="M1561" s="2200"/>
      <c r="T1561" s="2201"/>
      <c r="AT1561" s="2198" t="s">
        <v>3303</v>
      </c>
      <c r="AU1561" s="2198" t="s">
        <v>134</v>
      </c>
      <c r="AV1561" s="2195" t="s">
        <v>133</v>
      </c>
      <c r="AW1561" s="2195" t="s">
        <v>3171</v>
      </c>
      <c r="AX1561" s="2195" t="s">
        <v>3213</v>
      </c>
      <c r="AY1561" s="2198" t="s">
        <v>3285</v>
      </c>
    </row>
    <row r="1562" spans="2:51" s="2209" customFormat="1">
      <c r="B1562" s="2210"/>
      <c r="D1562" s="2197" t="s">
        <v>3303</v>
      </c>
      <c r="E1562" s="2211" t="s">
        <v>3146</v>
      </c>
      <c r="F1562" s="2212" t="s">
        <v>11427</v>
      </c>
      <c r="H1562" s="2213">
        <v>28.687999999999999</v>
      </c>
      <c r="L1562" s="2210"/>
      <c r="M1562" s="2214"/>
      <c r="T1562" s="2215"/>
      <c r="AT1562" s="2211" t="s">
        <v>3303</v>
      </c>
      <c r="AU1562" s="2211" t="s">
        <v>134</v>
      </c>
      <c r="AV1562" s="2209" t="s">
        <v>134</v>
      </c>
      <c r="AW1562" s="2209" t="s">
        <v>3171</v>
      </c>
      <c r="AX1562" s="2209" t="s">
        <v>3213</v>
      </c>
      <c r="AY1562" s="2211" t="s">
        <v>3285</v>
      </c>
    </row>
    <row r="1563" spans="2:51" s="2202" customFormat="1">
      <c r="B1563" s="2203"/>
      <c r="D1563" s="2197" t="s">
        <v>3303</v>
      </c>
      <c r="E1563" s="2204" t="s">
        <v>3146</v>
      </c>
      <c r="F1563" s="2205" t="s">
        <v>3305</v>
      </c>
      <c r="H1563" s="2206">
        <v>560.73500000000001</v>
      </c>
      <c r="L1563" s="2203"/>
      <c r="M1563" s="2207"/>
      <c r="T1563" s="2208"/>
      <c r="AT1563" s="2204" t="s">
        <v>3303</v>
      </c>
      <c r="AU1563" s="2204" t="s">
        <v>134</v>
      </c>
      <c r="AV1563" s="2202" t="s">
        <v>854</v>
      </c>
      <c r="AW1563" s="2202" t="s">
        <v>3171</v>
      </c>
      <c r="AX1563" s="2202" t="s">
        <v>3213</v>
      </c>
      <c r="AY1563" s="2204" t="s">
        <v>3285</v>
      </c>
    </row>
    <row r="1564" spans="2:51" s="2195" customFormat="1">
      <c r="B1564" s="2196"/>
      <c r="D1564" s="2197" t="s">
        <v>3303</v>
      </c>
      <c r="E1564" s="2198" t="s">
        <v>3146</v>
      </c>
      <c r="F1564" s="2199" t="s">
        <v>11428</v>
      </c>
      <c r="H1564" s="2198" t="s">
        <v>3146</v>
      </c>
      <c r="L1564" s="2196"/>
      <c r="M1564" s="2200"/>
      <c r="T1564" s="2201"/>
      <c r="AT1564" s="2198" t="s">
        <v>3303</v>
      </c>
      <c r="AU1564" s="2198" t="s">
        <v>134</v>
      </c>
      <c r="AV1564" s="2195" t="s">
        <v>133</v>
      </c>
      <c r="AW1564" s="2195" t="s">
        <v>3171</v>
      </c>
      <c r="AX1564" s="2195" t="s">
        <v>3213</v>
      </c>
      <c r="AY1564" s="2198" t="s">
        <v>3285</v>
      </c>
    </row>
    <row r="1565" spans="2:51" s="2195" customFormat="1">
      <c r="B1565" s="2196"/>
      <c r="D1565" s="2197" t="s">
        <v>3303</v>
      </c>
      <c r="E1565" s="2198" t="s">
        <v>3146</v>
      </c>
      <c r="F1565" s="2199" t="s">
        <v>11429</v>
      </c>
      <c r="H1565" s="2198" t="s">
        <v>3146</v>
      </c>
      <c r="L1565" s="2196"/>
      <c r="M1565" s="2200"/>
      <c r="T1565" s="2201"/>
      <c r="AT1565" s="2198" t="s">
        <v>3303</v>
      </c>
      <c r="AU1565" s="2198" t="s">
        <v>134</v>
      </c>
      <c r="AV1565" s="2195" t="s">
        <v>133</v>
      </c>
      <c r="AW1565" s="2195" t="s">
        <v>3171</v>
      </c>
      <c r="AX1565" s="2195" t="s">
        <v>3213</v>
      </c>
      <c r="AY1565" s="2198" t="s">
        <v>3285</v>
      </c>
    </row>
    <row r="1566" spans="2:51" s="2209" customFormat="1">
      <c r="B1566" s="2210"/>
      <c r="D1566" s="2197" t="s">
        <v>3303</v>
      </c>
      <c r="E1566" s="2211" t="s">
        <v>3146</v>
      </c>
      <c r="F1566" s="2212" t="s">
        <v>11430</v>
      </c>
      <c r="H1566" s="2213">
        <v>165.84</v>
      </c>
      <c r="L1566" s="2210"/>
      <c r="M1566" s="2214"/>
      <c r="T1566" s="2215"/>
      <c r="AT1566" s="2211" t="s">
        <v>3303</v>
      </c>
      <c r="AU1566" s="2211" t="s">
        <v>134</v>
      </c>
      <c r="AV1566" s="2209" t="s">
        <v>134</v>
      </c>
      <c r="AW1566" s="2209" t="s">
        <v>3171</v>
      </c>
      <c r="AX1566" s="2209" t="s">
        <v>3213</v>
      </c>
      <c r="AY1566" s="2211" t="s">
        <v>3285</v>
      </c>
    </row>
    <row r="1567" spans="2:51" s="2202" customFormat="1">
      <c r="B1567" s="2203"/>
      <c r="D1567" s="2197" t="s">
        <v>3303</v>
      </c>
      <c r="E1567" s="2204" t="s">
        <v>3146</v>
      </c>
      <c r="F1567" s="2205" t="s">
        <v>3305</v>
      </c>
      <c r="H1567" s="2206">
        <v>165.84</v>
      </c>
      <c r="L1567" s="2203"/>
      <c r="M1567" s="2207"/>
      <c r="T1567" s="2208"/>
      <c r="AT1567" s="2204" t="s">
        <v>3303</v>
      </c>
      <c r="AU1567" s="2204" t="s">
        <v>134</v>
      </c>
      <c r="AV1567" s="2202" t="s">
        <v>854</v>
      </c>
      <c r="AW1567" s="2202" t="s">
        <v>3171</v>
      </c>
      <c r="AX1567" s="2202" t="s">
        <v>3213</v>
      </c>
      <c r="AY1567" s="2204" t="s">
        <v>3285</v>
      </c>
    </row>
    <row r="1568" spans="2:51" s="2216" customFormat="1">
      <c r="B1568" s="2217"/>
      <c r="D1568" s="2197" t="s">
        <v>3303</v>
      </c>
      <c r="E1568" s="2218" t="s">
        <v>3146</v>
      </c>
      <c r="F1568" s="2219" t="s">
        <v>3306</v>
      </c>
      <c r="H1568" s="2220">
        <v>726.57500000000005</v>
      </c>
      <c r="L1568" s="2217"/>
      <c r="M1568" s="2221"/>
      <c r="T1568" s="2222"/>
      <c r="AT1568" s="2218" t="s">
        <v>3303</v>
      </c>
      <c r="AU1568" s="2218" t="s">
        <v>134</v>
      </c>
      <c r="AV1568" s="2216" t="s">
        <v>856</v>
      </c>
      <c r="AW1568" s="2216" t="s">
        <v>3171</v>
      </c>
      <c r="AX1568" s="2216" t="s">
        <v>133</v>
      </c>
      <c r="AY1568" s="2218" t="s">
        <v>3285</v>
      </c>
    </row>
    <row r="1569" spans="2:65" s="2070" customFormat="1" ht="24.2" customHeight="1">
      <c r="B1569" s="2164"/>
      <c r="C1569" s="5609" t="s">
        <v>11431</v>
      </c>
      <c r="D1569" s="4614" t="s">
        <v>135</v>
      </c>
      <c r="E1569" s="4615" t="s">
        <v>11432</v>
      </c>
      <c r="F1569" s="4616" t="s">
        <v>11433</v>
      </c>
      <c r="G1569" s="4617" t="s">
        <v>302</v>
      </c>
      <c r="H1569" s="4618">
        <v>0.60599999999999998</v>
      </c>
      <c r="I1569" s="5874" t="s">
        <v>11555</v>
      </c>
      <c r="J1569" s="5875"/>
      <c r="K1569" s="4616" t="s">
        <v>3146</v>
      </c>
      <c r="L1569" s="2223"/>
      <c r="M1569" s="2224" t="s">
        <v>3146</v>
      </c>
      <c r="N1569" s="2225" t="s">
        <v>3181</v>
      </c>
      <c r="O1569" s="2191">
        <v>0</v>
      </c>
      <c r="P1569" s="2191">
        <f>O1569*H1569</f>
        <v>0</v>
      </c>
      <c r="Q1569" s="2191">
        <v>1</v>
      </c>
      <c r="R1569" s="2191">
        <f>Q1569*H1569</f>
        <v>0.60599999999999998</v>
      </c>
      <c r="S1569" s="2191">
        <v>0</v>
      </c>
      <c r="T1569" s="2192">
        <f>S1569*H1569</f>
        <v>0</v>
      </c>
      <c r="AR1569" s="2193" t="s">
        <v>3389</v>
      </c>
      <c r="AT1569" s="2193" t="s">
        <v>135</v>
      </c>
      <c r="AU1569" s="2193" t="s">
        <v>134</v>
      </c>
      <c r="AY1569" s="2056" t="s">
        <v>3285</v>
      </c>
      <c r="BE1569" s="2194">
        <f>IF(N1569="základní",J1569,0)</f>
        <v>0</v>
      </c>
      <c r="BF1569" s="2194">
        <f>IF(N1569="snížená",J1569,0)</f>
        <v>0</v>
      </c>
      <c r="BG1569" s="2194">
        <f>IF(N1569="zákl. přenesená",J1569,0)</f>
        <v>0</v>
      </c>
      <c r="BH1569" s="2194">
        <f>IF(N1569="sníž. přenesená",J1569,0)</f>
        <v>0</v>
      </c>
      <c r="BI1569" s="2194">
        <f>IF(N1569="nulová",J1569,0)</f>
        <v>0</v>
      </c>
      <c r="BJ1569" s="2056" t="s">
        <v>134</v>
      </c>
      <c r="BK1569" s="2194">
        <v>0</v>
      </c>
      <c r="BL1569" s="2056" t="s">
        <v>2894</v>
      </c>
      <c r="BM1569" s="2193" t="s">
        <v>11434</v>
      </c>
    </row>
    <row r="1570" spans="2:65" s="2195" customFormat="1">
      <c r="B1570" s="2196"/>
      <c r="D1570" s="2197" t="s">
        <v>3303</v>
      </c>
      <c r="E1570" s="2198" t="s">
        <v>3146</v>
      </c>
      <c r="F1570" s="2199" t="s">
        <v>5669</v>
      </c>
      <c r="H1570" s="2198" t="s">
        <v>3146</v>
      </c>
      <c r="L1570" s="2196"/>
      <c r="M1570" s="2200"/>
      <c r="T1570" s="2201"/>
      <c r="AT1570" s="2198" t="s">
        <v>3303</v>
      </c>
      <c r="AU1570" s="2198" t="s">
        <v>134</v>
      </c>
      <c r="AV1570" s="2195" t="s">
        <v>133</v>
      </c>
      <c r="AW1570" s="2195" t="s">
        <v>3171</v>
      </c>
      <c r="AX1570" s="2195" t="s">
        <v>3213</v>
      </c>
      <c r="AY1570" s="2198" t="s">
        <v>3285</v>
      </c>
    </row>
    <row r="1571" spans="2:65" s="2195" customFormat="1">
      <c r="B1571" s="2196"/>
      <c r="D1571" s="2197" t="s">
        <v>3303</v>
      </c>
      <c r="E1571" s="2198" t="s">
        <v>3146</v>
      </c>
      <c r="F1571" s="2199" t="s">
        <v>5670</v>
      </c>
      <c r="H1571" s="2198" t="s">
        <v>3146</v>
      </c>
      <c r="L1571" s="2196"/>
      <c r="M1571" s="2200"/>
      <c r="T1571" s="2201"/>
      <c r="AT1571" s="2198" t="s">
        <v>3303</v>
      </c>
      <c r="AU1571" s="2198" t="s">
        <v>134</v>
      </c>
      <c r="AV1571" s="2195" t="s">
        <v>133</v>
      </c>
      <c r="AW1571" s="2195" t="s">
        <v>3171</v>
      </c>
      <c r="AX1571" s="2195" t="s">
        <v>3213</v>
      </c>
      <c r="AY1571" s="2198" t="s">
        <v>3285</v>
      </c>
    </row>
    <row r="1572" spans="2:65" s="2195" customFormat="1">
      <c r="B1572" s="2196"/>
      <c r="D1572" s="2197" t="s">
        <v>3303</v>
      </c>
      <c r="E1572" s="2198" t="s">
        <v>3146</v>
      </c>
      <c r="F1572" s="2199" t="s">
        <v>11418</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11435</v>
      </c>
      <c r="H1573" s="2213">
        <v>0.191</v>
      </c>
      <c r="L1573" s="2210"/>
      <c r="M1573" s="2214"/>
      <c r="T1573" s="2215"/>
      <c r="AT1573" s="2211" t="s">
        <v>3303</v>
      </c>
      <c r="AU1573" s="2211" t="s">
        <v>134</v>
      </c>
      <c r="AV1573" s="2209" t="s">
        <v>134</v>
      </c>
      <c r="AW1573" s="2209" t="s">
        <v>3171</v>
      </c>
      <c r="AX1573" s="2209" t="s">
        <v>3213</v>
      </c>
      <c r="AY1573" s="2211" t="s">
        <v>3285</v>
      </c>
    </row>
    <row r="1574" spans="2:65" s="2195" customFormat="1">
      <c r="B1574" s="2196"/>
      <c r="D1574" s="2197" t="s">
        <v>3303</v>
      </c>
      <c r="E1574" s="2198" t="s">
        <v>3146</v>
      </c>
      <c r="F1574" s="2199" t="s">
        <v>11420</v>
      </c>
      <c r="H1574" s="2198" t="s">
        <v>3146</v>
      </c>
      <c r="L1574" s="2196"/>
      <c r="M1574" s="2200"/>
      <c r="T1574" s="2201"/>
      <c r="AT1574" s="2198" t="s">
        <v>3303</v>
      </c>
      <c r="AU1574" s="2198" t="s">
        <v>134</v>
      </c>
      <c r="AV1574" s="2195" t="s">
        <v>133</v>
      </c>
      <c r="AW1574" s="2195" t="s">
        <v>3171</v>
      </c>
      <c r="AX1574" s="2195" t="s">
        <v>3213</v>
      </c>
      <c r="AY1574" s="2198" t="s">
        <v>3285</v>
      </c>
    </row>
    <row r="1575" spans="2:65" s="2209" customFormat="1">
      <c r="B1575" s="2210"/>
      <c r="D1575" s="2197" t="s">
        <v>3303</v>
      </c>
      <c r="E1575" s="2211" t="s">
        <v>3146</v>
      </c>
      <c r="F1575" s="2212" t="s">
        <v>11436</v>
      </c>
      <c r="H1575" s="2213">
        <v>7.5999999999999998E-2</v>
      </c>
      <c r="L1575" s="2210"/>
      <c r="M1575" s="2214"/>
      <c r="T1575" s="2215"/>
      <c r="AT1575" s="2211" t="s">
        <v>3303</v>
      </c>
      <c r="AU1575" s="2211" t="s">
        <v>134</v>
      </c>
      <c r="AV1575" s="2209" t="s">
        <v>134</v>
      </c>
      <c r="AW1575" s="2209" t="s">
        <v>3171</v>
      </c>
      <c r="AX1575" s="2209" t="s">
        <v>3213</v>
      </c>
      <c r="AY1575" s="2211" t="s">
        <v>3285</v>
      </c>
    </row>
    <row r="1576" spans="2:65" s="2195" customFormat="1">
      <c r="B1576" s="2196"/>
      <c r="D1576" s="2197" t="s">
        <v>3303</v>
      </c>
      <c r="E1576" s="2198" t="s">
        <v>3146</v>
      </c>
      <c r="F1576" s="2199" t="s">
        <v>11422</v>
      </c>
      <c r="H1576" s="2198" t="s">
        <v>3146</v>
      </c>
      <c r="L1576" s="2196"/>
      <c r="M1576" s="2200"/>
      <c r="T1576" s="2201"/>
      <c r="AT1576" s="2198" t="s">
        <v>3303</v>
      </c>
      <c r="AU1576" s="2198" t="s">
        <v>134</v>
      </c>
      <c r="AV1576" s="2195" t="s">
        <v>133</v>
      </c>
      <c r="AW1576" s="2195" t="s">
        <v>3171</v>
      </c>
      <c r="AX1576" s="2195" t="s">
        <v>3213</v>
      </c>
      <c r="AY1576" s="2198" t="s">
        <v>3285</v>
      </c>
    </row>
    <row r="1577" spans="2:65" s="2209" customFormat="1">
      <c r="B1577" s="2210"/>
      <c r="D1577" s="2197" t="s">
        <v>3303</v>
      </c>
      <c r="E1577" s="2211" t="s">
        <v>3146</v>
      </c>
      <c r="F1577" s="2212" t="s">
        <v>11437</v>
      </c>
      <c r="H1577" s="2213">
        <v>0.16900000000000001</v>
      </c>
      <c r="L1577" s="2210"/>
      <c r="M1577" s="2214"/>
      <c r="T1577" s="2215"/>
      <c r="AT1577" s="2211" t="s">
        <v>3303</v>
      </c>
      <c r="AU1577" s="2211" t="s">
        <v>134</v>
      </c>
      <c r="AV1577" s="2209" t="s">
        <v>134</v>
      </c>
      <c r="AW1577" s="2209" t="s">
        <v>3171</v>
      </c>
      <c r="AX1577" s="2209" t="s">
        <v>3213</v>
      </c>
      <c r="AY1577" s="2211" t="s">
        <v>3285</v>
      </c>
    </row>
    <row r="1578" spans="2:65" s="2195" customFormat="1">
      <c r="B1578" s="2196"/>
      <c r="D1578" s="2197" t="s">
        <v>3303</v>
      </c>
      <c r="E1578" s="2198" t="s">
        <v>3146</v>
      </c>
      <c r="F1578" s="2199" t="s">
        <v>11424</v>
      </c>
      <c r="H1578" s="2198" t="s">
        <v>3146</v>
      </c>
      <c r="L1578" s="2196"/>
      <c r="M1578" s="2200"/>
      <c r="T1578" s="2201"/>
      <c r="AT1578" s="2198" t="s">
        <v>3303</v>
      </c>
      <c r="AU1578" s="2198" t="s">
        <v>134</v>
      </c>
      <c r="AV1578" s="2195" t="s">
        <v>133</v>
      </c>
      <c r="AW1578" s="2195" t="s">
        <v>3171</v>
      </c>
      <c r="AX1578" s="2195" t="s">
        <v>3213</v>
      </c>
      <c r="AY1578" s="2198" t="s">
        <v>3285</v>
      </c>
    </row>
    <row r="1579" spans="2:65" s="2209" customFormat="1">
      <c r="B1579" s="2210"/>
      <c r="D1579" s="2197" t="s">
        <v>3303</v>
      </c>
      <c r="E1579" s="2211" t="s">
        <v>3146</v>
      </c>
      <c r="F1579" s="2212" t="s">
        <v>11438</v>
      </c>
      <c r="H1579" s="2213">
        <v>9.6000000000000002E-2</v>
      </c>
      <c r="L1579" s="2210"/>
      <c r="M1579" s="2214"/>
      <c r="T1579" s="2215"/>
      <c r="AT1579" s="2211" t="s">
        <v>3303</v>
      </c>
      <c r="AU1579" s="2211" t="s">
        <v>134</v>
      </c>
      <c r="AV1579" s="2209" t="s">
        <v>134</v>
      </c>
      <c r="AW1579" s="2209" t="s">
        <v>3171</v>
      </c>
      <c r="AX1579" s="2209" t="s">
        <v>3213</v>
      </c>
      <c r="AY1579" s="2211" t="s">
        <v>3285</v>
      </c>
    </row>
    <row r="1580" spans="2:65" s="2195" customFormat="1">
      <c r="B1580" s="2196"/>
      <c r="D1580" s="2197" t="s">
        <v>3303</v>
      </c>
      <c r="E1580" s="2198" t="s">
        <v>3146</v>
      </c>
      <c r="F1580" s="2199" t="s">
        <v>11426</v>
      </c>
      <c r="H1580" s="2198" t="s">
        <v>3146</v>
      </c>
      <c r="L1580" s="2196"/>
      <c r="M1580" s="2200"/>
      <c r="T1580" s="2201"/>
      <c r="AT1580" s="2198" t="s">
        <v>3303</v>
      </c>
      <c r="AU1580" s="2198" t="s">
        <v>134</v>
      </c>
      <c r="AV1580" s="2195" t="s">
        <v>133</v>
      </c>
      <c r="AW1580" s="2195" t="s">
        <v>3171</v>
      </c>
      <c r="AX1580" s="2195" t="s">
        <v>3213</v>
      </c>
      <c r="AY1580" s="2198" t="s">
        <v>3285</v>
      </c>
    </row>
    <row r="1581" spans="2:65" s="2209" customFormat="1">
      <c r="B1581" s="2210"/>
      <c r="D1581" s="2197" t="s">
        <v>3303</v>
      </c>
      <c r="E1581" s="2211" t="s">
        <v>3146</v>
      </c>
      <c r="F1581" s="2212" t="s">
        <v>11439</v>
      </c>
      <c r="H1581" s="2213">
        <v>2.9000000000000001E-2</v>
      </c>
      <c r="L1581" s="2210"/>
      <c r="M1581" s="2214"/>
      <c r="T1581" s="2215"/>
      <c r="AT1581" s="2211" t="s">
        <v>3303</v>
      </c>
      <c r="AU1581" s="2211" t="s">
        <v>134</v>
      </c>
      <c r="AV1581" s="2209" t="s">
        <v>134</v>
      </c>
      <c r="AW1581" s="2209" t="s">
        <v>3171</v>
      </c>
      <c r="AX1581" s="2209" t="s">
        <v>3213</v>
      </c>
      <c r="AY1581" s="2211" t="s">
        <v>3285</v>
      </c>
    </row>
    <row r="1582" spans="2:65" s="2216" customFormat="1">
      <c r="B1582" s="2217"/>
      <c r="D1582" s="2197" t="s">
        <v>3303</v>
      </c>
      <c r="E1582" s="2218" t="s">
        <v>3146</v>
      </c>
      <c r="F1582" s="2219" t="s">
        <v>3306</v>
      </c>
      <c r="H1582" s="2220">
        <v>0.56100000000000005</v>
      </c>
      <c r="L1582" s="2217"/>
      <c r="M1582" s="2221"/>
      <c r="T1582" s="2222"/>
      <c r="AT1582" s="2218" t="s">
        <v>3303</v>
      </c>
      <c r="AU1582" s="2218" t="s">
        <v>134</v>
      </c>
      <c r="AV1582" s="2216" t="s">
        <v>856</v>
      </c>
      <c r="AW1582" s="2216" t="s">
        <v>3171</v>
      </c>
      <c r="AX1582" s="2216" t="s">
        <v>133</v>
      </c>
      <c r="AY1582" s="2218" t="s">
        <v>3285</v>
      </c>
    </row>
    <row r="1583" spans="2:65" s="2209" customFormat="1">
      <c r="B1583" s="2210"/>
      <c r="D1583" s="2197" t="s">
        <v>3303</v>
      </c>
      <c r="F1583" s="2212" t="s">
        <v>11440</v>
      </c>
      <c r="H1583" s="2213">
        <v>0.60599999999999998</v>
      </c>
      <c r="L1583" s="2210"/>
      <c r="M1583" s="2214"/>
      <c r="T1583" s="2215"/>
      <c r="AT1583" s="2211" t="s">
        <v>3303</v>
      </c>
      <c r="AU1583" s="2211" t="s">
        <v>134</v>
      </c>
      <c r="AV1583" s="2209" t="s">
        <v>134</v>
      </c>
      <c r="AW1583" s="2209" t="s">
        <v>3148</v>
      </c>
      <c r="AX1583" s="2209" t="s">
        <v>133</v>
      </c>
      <c r="AY1583" s="2211" t="s">
        <v>3285</v>
      </c>
    </row>
    <row r="1584" spans="2:65" s="2070" customFormat="1" ht="21.75" customHeight="1">
      <c r="B1584" s="2164"/>
      <c r="C1584" s="5609" t="s">
        <v>11441</v>
      </c>
      <c r="D1584" s="4614" t="s">
        <v>135</v>
      </c>
      <c r="E1584" s="4615" t="s">
        <v>11442</v>
      </c>
      <c r="F1584" s="4616" t="s">
        <v>11443</v>
      </c>
      <c r="G1584" s="4617" t="s">
        <v>302</v>
      </c>
      <c r="H1584" s="4618">
        <v>0.17899999999999999</v>
      </c>
      <c r="I1584" s="5874" t="s">
        <v>11555</v>
      </c>
      <c r="J1584" s="5875"/>
      <c r="K1584" s="4616" t="s">
        <v>142</v>
      </c>
      <c r="L1584" s="2223"/>
      <c r="M1584" s="2224" t="s">
        <v>3146</v>
      </c>
      <c r="N1584" s="2225" t="s">
        <v>3181</v>
      </c>
      <c r="O1584" s="2191">
        <v>0</v>
      </c>
      <c r="P1584" s="2191">
        <f>O1584*H1584</f>
        <v>0</v>
      </c>
      <c r="Q1584" s="2191">
        <v>1</v>
      </c>
      <c r="R1584" s="2191">
        <f>Q1584*H1584</f>
        <v>0.17899999999999999</v>
      </c>
      <c r="S1584" s="2191">
        <v>0</v>
      </c>
      <c r="T1584" s="2192">
        <f>S1584*H1584</f>
        <v>0</v>
      </c>
      <c r="AR1584" s="2193" t="s">
        <v>3389</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v>0</v>
      </c>
      <c r="BL1584" s="2056" t="s">
        <v>2894</v>
      </c>
      <c r="BM1584" s="2193" t="s">
        <v>11444</v>
      </c>
    </row>
    <row r="1585" spans="2:65" s="2195" customFormat="1">
      <c r="B1585" s="2196"/>
      <c r="D1585" s="2197" t="s">
        <v>3303</v>
      </c>
      <c r="E1585" s="2198" t="s">
        <v>3146</v>
      </c>
      <c r="F1585" s="2199" t="s">
        <v>11428</v>
      </c>
      <c r="H1585" s="2198" t="s">
        <v>3146</v>
      </c>
      <c r="L1585" s="2196"/>
      <c r="M1585" s="2200"/>
      <c r="T1585" s="2201"/>
      <c r="AT1585" s="2198" t="s">
        <v>3303</v>
      </c>
      <c r="AU1585" s="2198" t="s">
        <v>134</v>
      </c>
      <c r="AV1585" s="2195" t="s">
        <v>133</v>
      </c>
      <c r="AW1585" s="2195" t="s">
        <v>3171</v>
      </c>
      <c r="AX1585" s="2195" t="s">
        <v>3213</v>
      </c>
      <c r="AY1585" s="2198" t="s">
        <v>3285</v>
      </c>
    </row>
    <row r="1586" spans="2:65" s="2209" customFormat="1" ht="22.5">
      <c r="B1586" s="2210"/>
      <c r="D1586" s="2197" t="s">
        <v>3303</v>
      </c>
      <c r="E1586" s="2211" t="s">
        <v>3146</v>
      </c>
      <c r="F1586" s="2212" t="s">
        <v>11445</v>
      </c>
      <c r="H1586" s="2213">
        <v>0.16600000000000001</v>
      </c>
      <c r="L1586" s="2210"/>
      <c r="M1586" s="2214"/>
      <c r="T1586" s="2215"/>
      <c r="AT1586" s="2211" t="s">
        <v>3303</v>
      </c>
      <c r="AU1586" s="2211" t="s">
        <v>134</v>
      </c>
      <c r="AV1586" s="2209" t="s">
        <v>134</v>
      </c>
      <c r="AW1586" s="2209" t="s">
        <v>3171</v>
      </c>
      <c r="AX1586" s="2209" t="s">
        <v>133</v>
      </c>
      <c r="AY1586" s="2211" t="s">
        <v>3285</v>
      </c>
    </row>
    <row r="1587" spans="2:65" s="2209" customFormat="1">
      <c r="B1587" s="2210"/>
      <c r="D1587" s="2197" t="s">
        <v>3303</v>
      </c>
      <c r="F1587" s="2212" t="s">
        <v>11446</v>
      </c>
      <c r="H1587" s="2213">
        <v>0.17899999999999999</v>
      </c>
      <c r="L1587" s="2210"/>
      <c r="M1587" s="2214"/>
      <c r="T1587" s="2215"/>
      <c r="AT1587" s="2211" t="s">
        <v>3303</v>
      </c>
      <c r="AU1587" s="2211" t="s">
        <v>134</v>
      </c>
      <c r="AV1587" s="2209" t="s">
        <v>134</v>
      </c>
      <c r="AW1587" s="2209" t="s">
        <v>3148</v>
      </c>
      <c r="AX1587" s="2209" t="s">
        <v>133</v>
      </c>
      <c r="AY1587" s="2211" t="s">
        <v>3285</v>
      </c>
    </row>
    <row r="1588" spans="2:65" s="2070" customFormat="1" ht="33" customHeight="1">
      <c r="B1588" s="2164"/>
      <c r="C1588" s="4608" t="s">
        <v>11447</v>
      </c>
      <c r="D1588" s="4608" t="s">
        <v>3286</v>
      </c>
      <c r="E1588" s="4609" t="s">
        <v>11448</v>
      </c>
      <c r="F1588" s="4610" t="s">
        <v>11449</v>
      </c>
      <c r="G1588" s="4611" t="s">
        <v>155</v>
      </c>
      <c r="H1588" s="4612">
        <v>1</v>
      </c>
      <c r="I1588" s="4613"/>
      <c r="J1588" s="4613">
        <f>ROUND(I1588*H1588,2)</f>
        <v>0</v>
      </c>
      <c r="K1588" s="4610" t="s">
        <v>3146</v>
      </c>
      <c r="L1588" s="2071"/>
      <c r="M1588" s="2190" t="s">
        <v>3146</v>
      </c>
      <c r="N1588" s="2163" t="s">
        <v>3181</v>
      </c>
      <c r="O1588" s="2191">
        <v>0.16200000000000001</v>
      </c>
      <c r="P1588" s="2191">
        <f>O1588*H1588</f>
        <v>0.16200000000000001</v>
      </c>
      <c r="Q1588" s="2191">
        <v>1.1E-4</v>
      </c>
      <c r="R1588" s="2191">
        <f>Q1588*H1588</f>
        <v>1.1E-4</v>
      </c>
      <c r="S1588" s="2191">
        <v>0</v>
      </c>
      <c r="T1588" s="2192">
        <f>S1588*H1588</f>
        <v>0</v>
      </c>
      <c r="AR1588" s="2193" t="s">
        <v>2894</v>
      </c>
      <c r="AT1588" s="2193" t="s">
        <v>3286</v>
      </c>
      <c r="AU1588" s="2193" t="s">
        <v>134</v>
      </c>
      <c r="AY1588" s="2056" t="s">
        <v>3285</v>
      </c>
      <c r="BE1588" s="2194">
        <f>IF(N1588="základní",J1588,0)</f>
        <v>0</v>
      </c>
      <c r="BF1588" s="2194">
        <f>IF(N1588="snížená",J1588,0)</f>
        <v>0</v>
      </c>
      <c r="BG1588" s="2194">
        <f>IF(N1588="zákl. přenesená",J1588,0)</f>
        <v>0</v>
      </c>
      <c r="BH1588" s="2194">
        <f>IF(N1588="sníž. přenesená",J1588,0)</f>
        <v>0</v>
      </c>
      <c r="BI1588" s="2194">
        <f>IF(N1588="nulová",J1588,0)</f>
        <v>0</v>
      </c>
      <c r="BJ1588" s="2056" t="s">
        <v>134</v>
      </c>
      <c r="BK1588" s="2194">
        <f>ROUND(I1588*H1588,2)</f>
        <v>0</v>
      </c>
      <c r="BL1588" s="2056" t="s">
        <v>2894</v>
      </c>
      <c r="BM1588" s="2193" t="s">
        <v>11450</v>
      </c>
    </row>
    <row r="1589" spans="2:65" s="2070" customFormat="1" ht="33" customHeight="1">
      <c r="B1589" s="2164"/>
      <c r="C1589" s="5561" t="s">
        <v>11737</v>
      </c>
      <c r="D1589" s="5561" t="s">
        <v>3286</v>
      </c>
      <c r="E1589" s="5567" t="s">
        <v>11448</v>
      </c>
      <c r="F1589" s="5566" t="s">
        <v>11736</v>
      </c>
      <c r="G1589" s="5570" t="s">
        <v>155</v>
      </c>
      <c r="H1589" s="5568">
        <f>H1590</f>
        <v>1</v>
      </c>
      <c r="I1589" s="5571"/>
      <c r="J1589" s="5571">
        <f>ROUND(I1589*H1589,2)</f>
        <v>0</v>
      </c>
      <c r="K1589" s="5566" t="s">
        <v>3146</v>
      </c>
      <c r="L1589" s="2071"/>
      <c r="M1589" s="2190" t="s">
        <v>3146</v>
      </c>
      <c r="N1589" s="2163" t="s">
        <v>3181</v>
      </c>
      <c r="O1589" s="2191">
        <v>0.16200000000000001</v>
      </c>
      <c r="P1589" s="2191">
        <f>O1589*H1589</f>
        <v>0.16200000000000001</v>
      </c>
      <c r="Q1589" s="2191">
        <v>1.1E-4</v>
      </c>
      <c r="R1589" s="2191">
        <f>Q1589*H1589</f>
        <v>1.1E-4</v>
      </c>
      <c r="S1589" s="2191">
        <v>0</v>
      </c>
      <c r="T1589" s="2192">
        <f>S1589*H1589</f>
        <v>0</v>
      </c>
      <c r="AR1589" s="2193" t="s">
        <v>2894</v>
      </c>
      <c r="AT1589" s="2193" t="s">
        <v>3286</v>
      </c>
      <c r="AU1589" s="2193" t="s">
        <v>134</v>
      </c>
      <c r="AY1589" s="2056" t="s">
        <v>3285</v>
      </c>
      <c r="BE1589" s="2194">
        <f>IF(N1589="základní",J1589,0)</f>
        <v>0</v>
      </c>
      <c r="BF1589" s="2194">
        <f>IF(N1589="snížená",J1589,0)</f>
        <v>0</v>
      </c>
      <c r="BG1589" s="2194">
        <f>IF(N1589="zákl. přenesená",J1589,0)</f>
        <v>0</v>
      </c>
      <c r="BH1589" s="2194">
        <f>IF(N1589="sníž. přenesená",J1589,0)</f>
        <v>0</v>
      </c>
      <c r="BI1589" s="2194">
        <f>IF(N1589="nulová",J1589,0)</f>
        <v>0</v>
      </c>
      <c r="BJ1589" s="2056" t="s">
        <v>134</v>
      </c>
      <c r="BK1589" s="2194">
        <f>ROUND(I1589*H1589,2)</f>
        <v>0</v>
      </c>
      <c r="BL1589" s="2056" t="s">
        <v>2894</v>
      </c>
      <c r="BM1589" s="2193" t="s">
        <v>11450</v>
      </c>
    </row>
    <row r="1590" spans="2:65" s="2209" customFormat="1">
      <c r="B1590" s="2210"/>
      <c r="C1590" s="5633"/>
      <c r="D1590" s="5634" t="s">
        <v>3303</v>
      </c>
      <c r="E1590" s="5635" t="s">
        <v>3161</v>
      </c>
      <c r="F1590" s="5636" t="s">
        <v>11738</v>
      </c>
      <c r="G1590" s="5633"/>
      <c r="H1590" s="5642">
        <v>1</v>
      </c>
      <c r="I1590" s="5633"/>
      <c r="J1590" s="5633"/>
      <c r="K1590" s="5639"/>
      <c r="L1590" s="2210"/>
      <c r="M1590" s="2214"/>
      <c r="T1590" s="2215"/>
      <c r="AT1590" s="2211" t="s">
        <v>3303</v>
      </c>
      <c r="AU1590" s="2211" t="s">
        <v>134</v>
      </c>
      <c r="AV1590" s="2209" t="s">
        <v>134</v>
      </c>
      <c r="AW1590" s="2209" t="s">
        <v>3171</v>
      </c>
      <c r="AX1590" s="2209" t="s">
        <v>3213</v>
      </c>
      <c r="AY1590" s="2211" t="s">
        <v>3285</v>
      </c>
    </row>
    <row r="1591" spans="2:65" s="2209" customFormat="1" ht="33.75">
      <c r="B1591" s="2210"/>
      <c r="C1591" s="5633"/>
      <c r="D1591" s="5634"/>
      <c r="E1591" s="5635"/>
      <c r="F1591" s="5636" t="s">
        <v>11739</v>
      </c>
      <c r="G1591" s="5633"/>
      <c r="H1591" s="5642"/>
      <c r="I1591" s="5633"/>
      <c r="J1591" s="5633"/>
      <c r="K1591" s="5640"/>
      <c r="L1591" s="2210"/>
      <c r="M1591" s="2214"/>
      <c r="T1591" s="2215"/>
      <c r="AT1591" s="2211"/>
      <c r="AU1591" s="2211"/>
      <c r="AY1591" s="2211"/>
    </row>
    <row r="1592" spans="2:65" s="2070" customFormat="1" ht="24.2" customHeight="1">
      <c r="B1592" s="2164"/>
      <c r="C1592" s="4608" t="s">
        <v>11451</v>
      </c>
      <c r="D1592" s="4608" t="s">
        <v>3286</v>
      </c>
      <c r="E1592" s="4609" t="s">
        <v>11452</v>
      </c>
      <c r="F1592" s="4610" t="s">
        <v>11453</v>
      </c>
      <c r="G1592" s="4611" t="s">
        <v>155</v>
      </c>
      <c r="H1592" s="4612">
        <v>5</v>
      </c>
      <c r="I1592" s="4613"/>
      <c r="J1592" s="4613">
        <f>ROUND(I1592*H1592,2)</f>
        <v>0</v>
      </c>
      <c r="K1592" s="4610" t="s">
        <v>142</v>
      </c>
      <c r="L1592" s="2071"/>
      <c r="M1592" s="2190" t="s">
        <v>3146</v>
      </c>
      <c r="N1592" s="2163" t="s">
        <v>3181</v>
      </c>
      <c r="O1592" s="2191">
        <v>2.39</v>
      </c>
      <c r="P1592" s="2191">
        <f>O1592*H1592</f>
        <v>11.950000000000001</v>
      </c>
      <c r="Q1592" s="2191">
        <v>1.7000000000000001E-4</v>
      </c>
      <c r="R1592" s="2191">
        <f>Q1592*H1592</f>
        <v>8.5000000000000006E-4</v>
      </c>
      <c r="S1592" s="2191">
        <v>0</v>
      </c>
      <c r="T1592" s="2192">
        <f>S1592*H1592</f>
        <v>0</v>
      </c>
      <c r="AR1592" s="2193" t="s">
        <v>2894</v>
      </c>
      <c r="AT1592" s="2193" t="s">
        <v>3286</v>
      </c>
      <c r="AU1592" s="2193" t="s">
        <v>134</v>
      </c>
      <c r="AY1592" s="2056" t="s">
        <v>3285</v>
      </c>
      <c r="BE1592" s="2194">
        <f>IF(N1592="základní",J1592,0)</f>
        <v>0</v>
      </c>
      <c r="BF1592" s="2194">
        <f>IF(N1592="snížená",J1592,0)</f>
        <v>0</v>
      </c>
      <c r="BG1592" s="2194">
        <f>IF(N1592="zákl. přenesená",J1592,0)</f>
        <v>0</v>
      </c>
      <c r="BH1592" s="2194">
        <f>IF(N1592="sníž. přenesená",J1592,0)</f>
        <v>0</v>
      </c>
      <c r="BI1592" s="2194">
        <f>IF(N1592="nulová",J1592,0)</f>
        <v>0</v>
      </c>
      <c r="BJ1592" s="2056" t="s">
        <v>134</v>
      </c>
      <c r="BK1592" s="2194">
        <f>ROUND(I1592*H1592,2)</f>
        <v>0</v>
      </c>
      <c r="BL1592" s="2056" t="s">
        <v>2894</v>
      </c>
      <c r="BM1592" s="2193" t="s">
        <v>11454</v>
      </c>
    </row>
    <row r="1593" spans="2:65" s="2070" customFormat="1" ht="24.2" customHeight="1">
      <c r="B1593" s="2164"/>
      <c r="C1593" s="4614" t="s">
        <v>11455</v>
      </c>
      <c r="D1593" s="4614" t="s">
        <v>135</v>
      </c>
      <c r="E1593" s="4615" t="s">
        <v>11456</v>
      </c>
      <c r="F1593" s="4616" t="s">
        <v>11457</v>
      </c>
      <c r="G1593" s="4617" t="s">
        <v>155</v>
      </c>
      <c r="H1593" s="4618">
        <v>5</v>
      </c>
      <c r="I1593" s="4619"/>
      <c r="J1593" s="4619">
        <f>ROUND(I1593*H1593,2)</f>
        <v>0</v>
      </c>
      <c r="K1593" s="4616" t="s">
        <v>142</v>
      </c>
      <c r="L1593" s="2223"/>
      <c r="M1593" s="2224" t="s">
        <v>3146</v>
      </c>
      <c r="N1593" s="2225" t="s">
        <v>3181</v>
      </c>
      <c r="O1593" s="2191">
        <v>0</v>
      </c>
      <c r="P1593" s="2191">
        <f>O1593*H1593</f>
        <v>0</v>
      </c>
      <c r="Q1593" s="2191">
        <v>2.6900000000000001E-3</v>
      </c>
      <c r="R1593" s="2191">
        <f>Q1593*H1593</f>
        <v>1.345E-2</v>
      </c>
      <c r="S1593" s="2191">
        <v>0</v>
      </c>
      <c r="T1593" s="2192">
        <f>S1593*H1593</f>
        <v>0</v>
      </c>
      <c r="AR1593" s="2193" t="s">
        <v>3389</v>
      </c>
      <c r="AT1593" s="2193" t="s">
        <v>135</v>
      </c>
      <c r="AU1593" s="2193" t="s">
        <v>134</v>
      </c>
      <c r="AY1593" s="2056" t="s">
        <v>3285</v>
      </c>
      <c r="BE1593" s="2194">
        <f>IF(N1593="základní",J1593,0)</f>
        <v>0</v>
      </c>
      <c r="BF1593" s="2194">
        <f>IF(N1593="snížená",J1593,0)</f>
        <v>0</v>
      </c>
      <c r="BG1593" s="2194">
        <f>IF(N1593="zákl. přenesená",J1593,0)</f>
        <v>0</v>
      </c>
      <c r="BH1593" s="2194">
        <f>IF(N1593="sníž. přenesená",J1593,0)</f>
        <v>0</v>
      </c>
      <c r="BI1593" s="2194">
        <f>IF(N1593="nulová",J1593,0)</f>
        <v>0</v>
      </c>
      <c r="BJ1593" s="2056" t="s">
        <v>134</v>
      </c>
      <c r="BK1593" s="2194">
        <f>ROUND(I1593*H1593,2)</f>
        <v>0</v>
      </c>
      <c r="BL1593" s="2056" t="s">
        <v>2894</v>
      </c>
      <c r="BM1593" s="2193" t="s">
        <v>11458</v>
      </c>
    </row>
    <row r="1594" spans="2:65" s="2070" customFormat="1" ht="24.2" customHeight="1">
      <c r="B1594" s="2164"/>
      <c r="C1594" s="4608" t="s">
        <v>11459</v>
      </c>
      <c r="D1594" s="4608" t="s">
        <v>3286</v>
      </c>
      <c r="E1594" s="4609" t="s">
        <v>11460</v>
      </c>
      <c r="F1594" s="4610" t="s">
        <v>11461</v>
      </c>
      <c r="G1594" s="4611" t="s">
        <v>155</v>
      </c>
      <c r="H1594" s="4612">
        <v>1</v>
      </c>
      <c r="I1594" s="4613"/>
      <c r="J1594" s="4613">
        <f>ROUND(I1594*H1594,2)</f>
        <v>0</v>
      </c>
      <c r="K1594" s="4610" t="s">
        <v>142</v>
      </c>
      <c r="L1594" s="2071"/>
      <c r="M1594" s="2190" t="s">
        <v>3146</v>
      </c>
      <c r="N1594" s="2163" t="s">
        <v>3181</v>
      </c>
      <c r="O1594" s="2191">
        <v>5.76</v>
      </c>
      <c r="P1594" s="2191">
        <f>O1594*H1594</f>
        <v>5.76</v>
      </c>
      <c r="Q1594" s="2191">
        <v>0</v>
      </c>
      <c r="R1594" s="2191">
        <f>Q1594*H1594</f>
        <v>0</v>
      </c>
      <c r="S1594" s="2191">
        <v>0</v>
      </c>
      <c r="T1594" s="2192">
        <f>S1594*H1594</f>
        <v>0</v>
      </c>
      <c r="AR1594" s="2193" t="s">
        <v>2894</v>
      </c>
      <c r="AT1594" s="2193" t="s">
        <v>3286</v>
      </c>
      <c r="AU1594" s="2193" t="s">
        <v>134</v>
      </c>
      <c r="AY1594" s="2056" t="s">
        <v>3285</v>
      </c>
      <c r="BE1594" s="2194">
        <f>IF(N1594="základní",J1594,0)</f>
        <v>0</v>
      </c>
      <c r="BF1594" s="2194">
        <f>IF(N1594="snížená",J1594,0)</f>
        <v>0</v>
      </c>
      <c r="BG1594" s="2194">
        <f>IF(N1594="zákl. přenesená",J1594,0)</f>
        <v>0</v>
      </c>
      <c r="BH1594" s="2194">
        <f>IF(N1594="sníž. přenesená",J1594,0)</f>
        <v>0</v>
      </c>
      <c r="BI1594" s="2194">
        <f>IF(N1594="nulová",J1594,0)</f>
        <v>0</v>
      </c>
      <c r="BJ1594" s="2056" t="s">
        <v>134</v>
      </c>
      <c r="BK1594" s="2194">
        <f>ROUND(I1594*H1594,2)</f>
        <v>0</v>
      </c>
      <c r="BL1594" s="2056" t="s">
        <v>2894</v>
      </c>
      <c r="BM1594" s="2193" t="s">
        <v>11462</v>
      </c>
    </row>
    <row r="1595" spans="2:65" s="2070" customFormat="1" ht="33" customHeight="1">
      <c r="B1595" s="2164"/>
      <c r="C1595" s="4614" t="s">
        <v>11463</v>
      </c>
      <c r="D1595" s="4614" t="s">
        <v>135</v>
      </c>
      <c r="E1595" s="4615" t="s">
        <v>11464</v>
      </c>
      <c r="F1595" s="4616" t="s">
        <v>11465</v>
      </c>
      <c r="G1595" s="4617" t="s">
        <v>141</v>
      </c>
      <c r="H1595" s="4618">
        <v>30.24</v>
      </c>
      <c r="I1595" s="4619"/>
      <c r="J1595" s="4619">
        <f>ROUND(I1595*H1595,2)</f>
        <v>0</v>
      </c>
      <c r="K1595" s="4616" t="s">
        <v>142</v>
      </c>
      <c r="L1595" s="2223"/>
      <c r="M1595" s="2224" t="s">
        <v>3146</v>
      </c>
      <c r="N1595" s="2225" t="s">
        <v>3181</v>
      </c>
      <c r="O1595" s="2191">
        <v>0</v>
      </c>
      <c r="P1595" s="2191">
        <f>O1595*H1595</f>
        <v>0</v>
      </c>
      <c r="Q1595" s="2191">
        <v>2.4000000000000001E-4</v>
      </c>
      <c r="R1595" s="2191">
        <f>Q1595*H1595</f>
        <v>7.2575999999999995E-3</v>
      </c>
      <c r="S1595" s="2191">
        <v>0</v>
      </c>
      <c r="T1595" s="2192">
        <f>S1595*H1595</f>
        <v>0</v>
      </c>
      <c r="AR1595" s="2193" t="s">
        <v>3389</v>
      </c>
      <c r="AT1595" s="2193" t="s">
        <v>135</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11466</v>
      </c>
    </row>
    <row r="1596" spans="2:65" s="2209" customFormat="1">
      <c r="B1596" s="2210"/>
      <c r="D1596" s="2197" t="s">
        <v>3303</v>
      </c>
      <c r="F1596" s="2212" t="s">
        <v>11467</v>
      </c>
      <c r="H1596" s="2213">
        <v>30.24</v>
      </c>
      <c r="L1596" s="2210"/>
      <c r="M1596" s="2214"/>
      <c r="T1596" s="2215"/>
      <c r="AT1596" s="2211" t="s">
        <v>3303</v>
      </c>
      <c r="AU1596" s="2211" t="s">
        <v>134</v>
      </c>
      <c r="AV1596" s="2209" t="s">
        <v>134</v>
      </c>
      <c r="AW1596" s="2209" t="s">
        <v>3148</v>
      </c>
      <c r="AX1596" s="2209" t="s">
        <v>133</v>
      </c>
      <c r="AY1596" s="2211" t="s">
        <v>3285</v>
      </c>
    </row>
    <row r="1597" spans="2:65" s="2070" customFormat="1" ht="16.5" customHeight="1">
      <c r="B1597" s="2164"/>
      <c r="C1597" s="4608" t="s">
        <v>11468</v>
      </c>
      <c r="D1597" s="4608" t="s">
        <v>3286</v>
      </c>
      <c r="E1597" s="4609" t="s">
        <v>11469</v>
      </c>
      <c r="F1597" s="4610" t="s">
        <v>11470</v>
      </c>
      <c r="G1597" s="4611" t="s">
        <v>155</v>
      </c>
      <c r="H1597" s="4612">
        <v>1</v>
      </c>
      <c r="I1597" s="4613"/>
      <c r="J1597" s="4613">
        <f>ROUND(I1597*H1597,2)</f>
        <v>0</v>
      </c>
      <c r="K1597" s="4610" t="s">
        <v>3146</v>
      </c>
      <c r="L1597" s="2071"/>
      <c r="M1597" s="2190" t="s">
        <v>3146</v>
      </c>
      <c r="N1597" s="2163" t="s">
        <v>3181</v>
      </c>
      <c r="O1597" s="2191">
        <v>5.76</v>
      </c>
      <c r="P1597" s="2191">
        <f>O1597*H1597</f>
        <v>5.76</v>
      </c>
      <c r="Q1597" s="2191">
        <v>0</v>
      </c>
      <c r="R1597" s="2191">
        <f>Q1597*H1597</f>
        <v>0</v>
      </c>
      <c r="S1597" s="2191">
        <v>0</v>
      </c>
      <c r="T1597" s="2192">
        <f>S1597*H1597</f>
        <v>0</v>
      </c>
      <c r="AR1597" s="2193" t="s">
        <v>2894</v>
      </c>
      <c r="AT1597" s="2193" t="s">
        <v>3286</v>
      </c>
      <c r="AU1597" s="2193" t="s">
        <v>134</v>
      </c>
      <c r="AY1597" s="2056" t="s">
        <v>3285</v>
      </c>
      <c r="BE1597" s="2194">
        <f>IF(N1597="základní",J1597,0)</f>
        <v>0</v>
      </c>
      <c r="BF1597" s="2194">
        <f>IF(N1597="snížená",J1597,0)</f>
        <v>0</v>
      </c>
      <c r="BG1597" s="2194">
        <f>IF(N1597="zákl. přenesená",J1597,0)</f>
        <v>0</v>
      </c>
      <c r="BH1597" s="2194">
        <f>IF(N1597="sníž. přenesená",J1597,0)</f>
        <v>0</v>
      </c>
      <c r="BI1597" s="2194">
        <f>IF(N1597="nulová",J1597,0)</f>
        <v>0</v>
      </c>
      <c r="BJ1597" s="2056" t="s">
        <v>134</v>
      </c>
      <c r="BK1597" s="2194">
        <f>ROUND(I1597*H1597,2)</f>
        <v>0</v>
      </c>
      <c r="BL1597" s="2056" t="s">
        <v>2894</v>
      </c>
      <c r="BM1597" s="2193" t="s">
        <v>11471</v>
      </c>
    </row>
    <row r="1598" spans="2:65" s="2070" customFormat="1" ht="21.75" customHeight="1">
      <c r="B1598" s="2164"/>
      <c r="C1598" s="4608" t="s">
        <v>11472</v>
      </c>
      <c r="D1598" s="4608" t="s">
        <v>3286</v>
      </c>
      <c r="E1598" s="4609" t="s">
        <v>5672</v>
      </c>
      <c r="F1598" s="4610" t="s">
        <v>5673</v>
      </c>
      <c r="G1598" s="4611" t="s">
        <v>149</v>
      </c>
      <c r="H1598" s="4612">
        <v>127.19499999999999</v>
      </c>
      <c r="I1598" s="4613"/>
      <c r="J1598" s="4613">
        <f>ROUND(I1598*H1598,2)</f>
        <v>0</v>
      </c>
      <c r="K1598" s="4610" t="s">
        <v>142</v>
      </c>
      <c r="L1598" s="2071"/>
      <c r="M1598" s="2190" t="s">
        <v>3146</v>
      </c>
      <c r="N1598" s="2163" t="s">
        <v>3181</v>
      </c>
      <c r="O1598" s="2191">
        <v>0.26600000000000001</v>
      </c>
      <c r="P1598" s="2191">
        <f>O1598*H1598</f>
        <v>33.833869999999997</v>
      </c>
      <c r="Q1598" s="2191">
        <v>6.9999999999999994E-5</v>
      </c>
      <c r="R1598" s="2191">
        <f>Q1598*H1598</f>
        <v>8.9036499999999991E-3</v>
      </c>
      <c r="S1598" s="2191">
        <v>0</v>
      </c>
      <c r="T1598" s="2192">
        <f>S1598*H1598</f>
        <v>0</v>
      </c>
      <c r="AR1598" s="2193" t="s">
        <v>2894</v>
      </c>
      <c r="AT1598" s="2193" t="s">
        <v>3286</v>
      </c>
      <c r="AU1598" s="2193" t="s">
        <v>134</v>
      </c>
      <c r="AY1598" s="2056" t="s">
        <v>3285</v>
      </c>
      <c r="BE1598" s="2194">
        <f>IF(N1598="základní",J1598,0)</f>
        <v>0</v>
      </c>
      <c r="BF1598" s="2194">
        <f>IF(N1598="snížená",J1598,0)</f>
        <v>0</v>
      </c>
      <c r="BG1598" s="2194">
        <f>IF(N1598="zákl. přenesená",J1598,0)</f>
        <v>0</v>
      </c>
      <c r="BH1598" s="2194">
        <f>IF(N1598="sníž. přenesená",J1598,0)</f>
        <v>0</v>
      </c>
      <c r="BI1598" s="2194">
        <f>IF(N1598="nulová",J1598,0)</f>
        <v>0</v>
      </c>
      <c r="BJ1598" s="2056" t="s">
        <v>134</v>
      </c>
      <c r="BK1598" s="2194">
        <f>ROUND(I1598*H1598,2)</f>
        <v>0</v>
      </c>
      <c r="BL1598" s="2056" t="s">
        <v>2894</v>
      </c>
      <c r="BM1598" s="2193" t="s">
        <v>5674</v>
      </c>
    </row>
    <row r="1599" spans="2:65" s="2195" customFormat="1">
      <c r="B1599" s="2196"/>
      <c r="D1599" s="2197" t="s">
        <v>3303</v>
      </c>
      <c r="E1599" s="2198" t="s">
        <v>3146</v>
      </c>
      <c r="F1599" s="2199" t="s">
        <v>5675</v>
      </c>
      <c r="H1599" s="2198" t="s">
        <v>3146</v>
      </c>
      <c r="L1599" s="2196"/>
      <c r="M1599" s="2200"/>
      <c r="T1599" s="2201"/>
      <c r="AT1599" s="2198" t="s">
        <v>3303</v>
      </c>
      <c r="AU1599" s="2198" t="s">
        <v>134</v>
      </c>
      <c r="AV1599" s="2195" t="s">
        <v>133</v>
      </c>
      <c r="AW1599" s="2195" t="s">
        <v>3171</v>
      </c>
      <c r="AX1599" s="2195" t="s">
        <v>3213</v>
      </c>
      <c r="AY1599" s="2198" t="s">
        <v>3285</v>
      </c>
    </row>
    <row r="1600" spans="2:65" s="2209" customFormat="1">
      <c r="B1600" s="2210"/>
      <c r="D1600" s="2197" t="s">
        <v>3303</v>
      </c>
      <c r="E1600" s="2211" t="s">
        <v>3146</v>
      </c>
      <c r="F1600" s="2212" t="s">
        <v>5676</v>
      </c>
      <c r="H1600" s="2213">
        <v>127.19499999999999</v>
      </c>
      <c r="L1600" s="2210"/>
      <c r="M1600" s="2214"/>
      <c r="T1600" s="2215"/>
      <c r="AT1600" s="2211" t="s">
        <v>3303</v>
      </c>
      <c r="AU1600" s="2211" t="s">
        <v>134</v>
      </c>
      <c r="AV1600" s="2209" t="s">
        <v>134</v>
      </c>
      <c r="AW1600" s="2209" t="s">
        <v>3171</v>
      </c>
      <c r="AX1600" s="2209" t="s">
        <v>3213</v>
      </c>
      <c r="AY1600" s="2211" t="s">
        <v>3285</v>
      </c>
    </row>
    <row r="1601" spans="2:65" s="2216" customFormat="1">
      <c r="B1601" s="2217"/>
      <c r="D1601" s="2197" t="s">
        <v>3303</v>
      </c>
      <c r="E1601" s="2218" t="s">
        <v>3146</v>
      </c>
      <c r="F1601" s="2219" t="s">
        <v>3306</v>
      </c>
      <c r="H1601" s="2220">
        <v>127.19499999999999</v>
      </c>
      <c r="L1601" s="2217"/>
      <c r="M1601" s="2221"/>
      <c r="T1601" s="2222"/>
      <c r="AT1601" s="2218" t="s">
        <v>3303</v>
      </c>
      <c r="AU1601" s="2218" t="s">
        <v>134</v>
      </c>
      <c r="AV1601" s="2216" t="s">
        <v>856</v>
      </c>
      <c r="AW1601" s="2216" t="s">
        <v>3171</v>
      </c>
      <c r="AX1601" s="2216" t="s">
        <v>133</v>
      </c>
      <c r="AY1601" s="2218" t="s">
        <v>3285</v>
      </c>
    </row>
    <row r="1602" spans="2:65" s="2070" customFormat="1" ht="24.2" customHeight="1">
      <c r="B1602" s="2164"/>
      <c r="C1602" s="4614" t="s">
        <v>11473</v>
      </c>
      <c r="D1602" s="4614" t="s">
        <v>135</v>
      </c>
      <c r="E1602" s="4615" t="s">
        <v>5677</v>
      </c>
      <c r="F1602" s="4616" t="s">
        <v>5678</v>
      </c>
      <c r="G1602" s="4617" t="s">
        <v>302</v>
      </c>
      <c r="H1602" s="4618">
        <v>0.13800000000000001</v>
      </c>
      <c r="I1602" s="4619"/>
      <c r="J1602" s="4619">
        <f>ROUND(I1602*H1602,2)</f>
        <v>0</v>
      </c>
      <c r="K1602" s="4616" t="s">
        <v>142</v>
      </c>
      <c r="L1602" s="2223"/>
      <c r="M1602" s="2224" t="s">
        <v>3146</v>
      </c>
      <c r="N1602" s="2225" t="s">
        <v>3181</v>
      </c>
      <c r="O1602" s="2191">
        <v>0</v>
      </c>
      <c r="P1602" s="2191">
        <f>O1602*H1602</f>
        <v>0</v>
      </c>
      <c r="Q1602" s="2191">
        <v>1</v>
      </c>
      <c r="R1602" s="2191">
        <f>Q1602*H1602</f>
        <v>0.13800000000000001</v>
      </c>
      <c r="S1602" s="2191">
        <v>0</v>
      </c>
      <c r="T1602" s="2192">
        <f>S1602*H1602</f>
        <v>0</v>
      </c>
      <c r="AR1602" s="2193" t="s">
        <v>3389</v>
      </c>
      <c r="AT1602" s="2193" t="s">
        <v>135</v>
      </c>
      <c r="AU1602" s="2193" t="s">
        <v>134</v>
      </c>
      <c r="AY1602" s="2056" t="s">
        <v>3285</v>
      </c>
      <c r="BE1602" s="2194">
        <f>IF(N1602="základní",J1602,0)</f>
        <v>0</v>
      </c>
      <c r="BF1602" s="2194">
        <f>IF(N1602="snížená",J1602,0)</f>
        <v>0</v>
      </c>
      <c r="BG1602" s="2194">
        <f>IF(N1602="zákl. přenesená",J1602,0)</f>
        <v>0</v>
      </c>
      <c r="BH1602" s="2194">
        <f>IF(N1602="sníž. přenesená",J1602,0)</f>
        <v>0</v>
      </c>
      <c r="BI1602" s="2194">
        <f>IF(N1602="nulová",J1602,0)</f>
        <v>0</v>
      </c>
      <c r="BJ1602" s="2056" t="s">
        <v>134</v>
      </c>
      <c r="BK1602" s="2194">
        <f>ROUND(I1602*H1602,2)</f>
        <v>0</v>
      </c>
      <c r="BL1602" s="2056" t="s">
        <v>2894</v>
      </c>
      <c r="BM1602" s="2193" t="s">
        <v>5679</v>
      </c>
    </row>
    <row r="1603" spans="2:65" s="2195" customFormat="1">
      <c r="B1603" s="2196"/>
      <c r="D1603" s="2197" t="s">
        <v>3303</v>
      </c>
      <c r="E1603" s="2198" t="s">
        <v>3146</v>
      </c>
      <c r="F1603" s="2199" t="s">
        <v>5675</v>
      </c>
      <c r="H1603" s="2198" t="s">
        <v>3146</v>
      </c>
      <c r="L1603" s="2196"/>
      <c r="M1603" s="2200"/>
      <c r="T1603" s="2201"/>
      <c r="AT1603" s="2198" t="s">
        <v>3303</v>
      </c>
      <c r="AU1603" s="2198" t="s">
        <v>134</v>
      </c>
      <c r="AV1603" s="2195" t="s">
        <v>133</v>
      </c>
      <c r="AW1603" s="2195" t="s">
        <v>3171</v>
      </c>
      <c r="AX1603" s="2195" t="s">
        <v>3213</v>
      </c>
      <c r="AY1603" s="2198" t="s">
        <v>3285</v>
      </c>
    </row>
    <row r="1604" spans="2:65" s="2209" customFormat="1">
      <c r="B1604" s="2210"/>
      <c r="D1604" s="2197" t="s">
        <v>3303</v>
      </c>
      <c r="E1604" s="2211" t="s">
        <v>3146</v>
      </c>
      <c r="F1604" s="2212" t="s">
        <v>5680</v>
      </c>
      <c r="H1604" s="2213">
        <v>0.13800000000000001</v>
      </c>
      <c r="L1604" s="2210"/>
      <c r="M1604" s="2214"/>
      <c r="T1604" s="2215"/>
      <c r="AT1604" s="2211" t="s">
        <v>3303</v>
      </c>
      <c r="AU1604" s="2211" t="s">
        <v>134</v>
      </c>
      <c r="AV1604" s="2209" t="s">
        <v>134</v>
      </c>
      <c r="AW1604" s="2209" t="s">
        <v>3171</v>
      </c>
      <c r="AX1604" s="2209" t="s">
        <v>3213</v>
      </c>
      <c r="AY1604" s="2211" t="s">
        <v>3285</v>
      </c>
    </row>
    <row r="1605" spans="2:65" s="2216" customFormat="1">
      <c r="B1605" s="2217"/>
      <c r="D1605" s="2197" t="s">
        <v>3303</v>
      </c>
      <c r="E1605" s="2218" t="s">
        <v>3146</v>
      </c>
      <c r="F1605" s="2219" t="s">
        <v>3306</v>
      </c>
      <c r="H1605" s="2220">
        <v>0.13800000000000001</v>
      </c>
      <c r="L1605" s="2217"/>
      <c r="M1605" s="2221"/>
      <c r="T1605" s="2222"/>
      <c r="AT1605" s="2218" t="s">
        <v>3303</v>
      </c>
      <c r="AU1605" s="2218" t="s">
        <v>134</v>
      </c>
      <c r="AV1605" s="2216" t="s">
        <v>856</v>
      </c>
      <c r="AW1605" s="2216" t="s">
        <v>3171</v>
      </c>
      <c r="AX1605" s="2216" t="s">
        <v>133</v>
      </c>
      <c r="AY1605" s="2218" t="s">
        <v>3285</v>
      </c>
    </row>
    <row r="1606" spans="2:65" s="2070" customFormat="1" ht="24.2" customHeight="1">
      <c r="B1606" s="2164"/>
      <c r="C1606" s="4608" t="s">
        <v>11474</v>
      </c>
      <c r="D1606" s="4608" t="s">
        <v>3286</v>
      </c>
      <c r="E1606" s="4609" t="s">
        <v>11475</v>
      </c>
      <c r="F1606" s="4610" t="s">
        <v>11476</v>
      </c>
      <c r="G1606" s="4611" t="s">
        <v>149</v>
      </c>
      <c r="H1606" s="4612">
        <v>321.89999999999998</v>
      </c>
      <c r="I1606" s="4613"/>
      <c r="J1606" s="4613">
        <f>ROUND(I1606*H1606,2)</f>
        <v>0</v>
      </c>
      <c r="K1606" s="4610" t="s">
        <v>142</v>
      </c>
      <c r="L1606" s="2071"/>
      <c r="M1606" s="2190" t="s">
        <v>3146</v>
      </c>
      <c r="N1606" s="2163" t="s">
        <v>3181</v>
      </c>
      <c r="O1606" s="2191">
        <v>7.4999999999999997E-2</v>
      </c>
      <c r="P1606" s="2191">
        <f>O1606*H1606</f>
        <v>24.142499999999998</v>
      </c>
      <c r="Q1606" s="2191">
        <v>5.0000000000000002E-5</v>
      </c>
      <c r="R1606" s="2191">
        <f>Q1606*H1606</f>
        <v>1.6094999999999998E-2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11477</v>
      </c>
    </row>
    <row r="1607" spans="2:65" s="2195" customFormat="1">
      <c r="B1607" s="2196"/>
      <c r="D1607" s="2197" t="s">
        <v>3303</v>
      </c>
      <c r="E1607" s="2198" t="s">
        <v>3146</v>
      </c>
      <c r="F1607" s="2199" t="s">
        <v>11049</v>
      </c>
      <c r="H1607" s="2198" t="s">
        <v>3146</v>
      </c>
      <c r="L1607" s="2196"/>
      <c r="M1607" s="2200"/>
      <c r="T1607" s="2201"/>
      <c r="AT1607" s="2198" t="s">
        <v>3303</v>
      </c>
      <c r="AU1607" s="2198" t="s">
        <v>134</v>
      </c>
      <c r="AV1607" s="2195" t="s">
        <v>133</v>
      </c>
      <c r="AW1607" s="2195" t="s">
        <v>3171</v>
      </c>
      <c r="AX1607" s="2195" t="s">
        <v>3213</v>
      </c>
      <c r="AY1607" s="2198" t="s">
        <v>3285</v>
      </c>
    </row>
    <row r="1608" spans="2:65" s="2209" customFormat="1">
      <c r="B1608" s="2210"/>
      <c r="D1608" s="2197" t="s">
        <v>3303</v>
      </c>
      <c r="E1608" s="2211" t="s">
        <v>3146</v>
      </c>
      <c r="F1608" s="2212" t="s">
        <v>11478</v>
      </c>
      <c r="H1608" s="2213">
        <v>321.89999999999998</v>
      </c>
      <c r="L1608" s="2210"/>
      <c r="M1608" s="2214"/>
      <c r="T1608" s="2215"/>
      <c r="AT1608" s="2211" t="s">
        <v>3303</v>
      </c>
      <c r="AU1608" s="2211" t="s">
        <v>134</v>
      </c>
      <c r="AV1608" s="2209" t="s">
        <v>134</v>
      </c>
      <c r="AW1608" s="2209" t="s">
        <v>3171</v>
      </c>
      <c r="AX1608" s="2209" t="s">
        <v>3213</v>
      </c>
      <c r="AY1608" s="2211" t="s">
        <v>3285</v>
      </c>
    </row>
    <row r="1609" spans="2:65" s="2216" customFormat="1">
      <c r="B1609" s="2217"/>
      <c r="D1609" s="2197" t="s">
        <v>3303</v>
      </c>
      <c r="E1609" s="2218" t="s">
        <v>3146</v>
      </c>
      <c r="F1609" s="2219" t="s">
        <v>3306</v>
      </c>
      <c r="H1609" s="2220">
        <v>321.89999999999998</v>
      </c>
      <c r="L1609" s="2217"/>
      <c r="M1609" s="2221"/>
      <c r="T1609" s="2222"/>
      <c r="AT1609" s="2218" t="s">
        <v>3303</v>
      </c>
      <c r="AU1609" s="2218" t="s">
        <v>134</v>
      </c>
      <c r="AV1609" s="2216" t="s">
        <v>856</v>
      </c>
      <c r="AW1609" s="2216" t="s">
        <v>3171</v>
      </c>
      <c r="AX1609" s="2216" t="s">
        <v>133</v>
      </c>
      <c r="AY1609" s="2218" t="s">
        <v>3285</v>
      </c>
    </row>
    <row r="1610" spans="2:65" s="2070" customFormat="1" ht="21.75" customHeight="1">
      <c r="B1610" s="2164"/>
      <c r="C1610" s="4614" t="s">
        <v>11479</v>
      </c>
      <c r="D1610" s="4614" t="s">
        <v>135</v>
      </c>
      <c r="E1610" s="4615" t="s">
        <v>11480</v>
      </c>
      <c r="F1610" s="4616" t="s">
        <v>11481</v>
      </c>
      <c r="G1610" s="4617" t="s">
        <v>302</v>
      </c>
      <c r="H1610" s="4618">
        <v>0.35399999999999998</v>
      </c>
      <c r="I1610" s="4619"/>
      <c r="J1610" s="4619">
        <f>ROUND(I1610*H1610,2)</f>
        <v>0</v>
      </c>
      <c r="K1610" s="4616" t="s">
        <v>142</v>
      </c>
      <c r="L1610" s="2223"/>
      <c r="M1610" s="2224" t="s">
        <v>3146</v>
      </c>
      <c r="N1610" s="2225" t="s">
        <v>3181</v>
      </c>
      <c r="O1610" s="2191">
        <v>0</v>
      </c>
      <c r="P1610" s="2191">
        <f>O1610*H1610</f>
        <v>0</v>
      </c>
      <c r="Q1610" s="2191">
        <v>1</v>
      </c>
      <c r="R1610" s="2191">
        <f>Q1610*H1610</f>
        <v>0.35399999999999998</v>
      </c>
      <c r="S1610" s="2191">
        <v>0</v>
      </c>
      <c r="T1610" s="2192">
        <f>S1610*H1610</f>
        <v>0</v>
      </c>
      <c r="AR1610" s="2193" t="s">
        <v>3389</v>
      </c>
      <c r="AT1610" s="2193" t="s">
        <v>135</v>
      </c>
      <c r="AU1610" s="2193" t="s">
        <v>134</v>
      </c>
      <c r="AY1610" s="2056" t="s">
        <v>3285</v>
      </c>
      <c r="BE1610" s="2194">
        <f>IF(N1610="základní",J1610,0)</f>
        <v>0</v>
      </c>
      <c r="BF1610" s="2194">
        <f>IF(N1610="snížená",J1610,0)</f>
        <v>0</v>
      </c>
      <c r="BG1610" s="2194">
        <f>IF(N1610="zákl. přenesená",J1610,0)</f>
        <v>0</v>
      </c>
      <c r="BH1610" s="2194">
        <f>IF(N1610="sníž. přenesená",J1610,0)</f>
        <v>0</v>
      </c>
      <c r="BI1610" s="2194">
        <f>IF(N1610="nulová",J1610,0)</f>
        <v>0</v>
      </c>
      <c r="BJ1610" s="2056" t="s">
        <v>134</v>
      </c>
      <c r="BK1610" s="2194">
        <f>ROUND(I1610*H1610,2)</f>
        <v>0</v>
      </c>
      <c r="BL1610" s="2056" t="s">
        <v>2894</v>
      </c>
      <c r="BM1610" s="2193" t="s">
        <v>11482</v>
      </c>
    </row>
    <row r="1611" spans="2:65" s="2195" customFormat="1">
      <c r="B1611" s="2196"/>
      <c r="D1611" s="2197" t="s">
        <v>3303</v>
      </c>
      <c r="E1611" s="2198" t="s">
        <v>3146</v>
      </c>
      <c r="F1611" s="2199" t="s">
        <v>11049</v>
      </c>
      <c r="H1611" s="2198" t="s">
        <v>3146</v>
      </c>
      <c r="L1611" s="2196"/>
      <c r="M1611" s="2200"/>
      <c r="T1611" s="2201"/>
      <c r="AT1611" s="2198" t="s">
        <v>3303</v>
      </c>
      <c r="AU1611" s="2198" t="s">
        <v>134</v>
      </c>
      <c r="AV1611" s="2195" t="s">
        <v>133</v>
      </c>
      <c r="AW1611" s="2195" t="s">
        <v>3171</v>
      </c>
      <c r="AX1611" s="2195" t="s">
        <v>3213</v>
      </c>
      <c r="AY1611" s="2198" t="s">
        <v>3285</v>
      </c>
    </row>
    <row r="1612" spans="2:65" s="2209" customFormat="1">
      <c r="B1612" s="2210"/>
      <c r="D1612" s="2197" t="s">
        <v>3303</v>
      </c>
      <c r="E1612" s="2211" t="s">
        <v>3146</v>
      </c>
      <c r="F1612" s="2212" t="s">
        <v>11483</v>
      </c>
      <c r="H1612" s="2213">
        <v>0.35399999999999998</v>
      </c>
      <c r="L1612" s="2210"/>
      <c r="M1612" s="2214"/>
      <c r="T1612" s="2215"/>
      <c r="AT1612" s="2211" t="s">
        <v>3303</v>
      </c>
      <c r="AU1612" s="2211" t="s">
        <v>134</v>
      </c>
      <c r="AV1612" s="2209" t="s">
        <v>134</v>
      </c>
      <c r="AW1612" s="2209" t="s">
        <v>3171</v>
      </c>
      <c r="AX1612" s="2209" t="s">
        <v>3213</v>
      </c>
      <c r="AY1612" s="2211" t="s">
        <v>3285</v>
      </c>
    </row>
    <row r="1613" spans="2:65" s="2216" customFormat="1">
      <c r="B1613" s="2217"/>
      <c r="D1613" s="2197" t="s">
        <v>3303</v>
      </c>
      <c r="E1613" s="2218" t="s">
        <v>3146</v>
      </c>
      <c r="F1613" s="2219" t="s">
        <v>3306</v>
      </c>
      <c r="H1613" s="2220">
        <v>0.35399999999999998</v>
      </c>
      <c r="L1613" s="2217"/>
      <c r="M1613" s="2221"/>
      <c r="T1613" s="2222"/>
      <c r="AT1613" s="2218" t="s">
        <v>3303</v>
      </c>
      <c r="AU1613" s="2218" t="s">
        <v>134</v>
      </c>
      <c r="AV1613" s="2216" t="s">
        <v>856</v>
      </c>
      <c r="AW1613" s="2216" t="s">
        <v>3171</v>
      </c>
      <c r="AX1613" s="2216" t="s">
        <v>133</v>
      </c>
      <c r="AY1613" s="2218" t="s">
        <v>3285</v>
      </c>
    </row>
    <row r="1614" spans="2:65" s="2070" customFormat="1" ht="24.2" customHeight="1">
      <c r="B1614" s="2164"/>
      <c r="C1614" s="4608" t="s">
        <v>11484</v>
      </c>
      <c r="D1614" s="4608" t="s">
        <v>3286</v>
      </c>
      <c r="E1614" s="4609" t="s">
        <v>5681</v>
      </c>
      <c r="F1614" s="4610" t="s">
        <v>5682</v>
      </c>
      <c r="G1614" s="4611" t="s">
        <v>302</v>
      </c>
      <c r="H1614" s="4612">
        <v>29.103999999999999</v>
      </c>
      <c r="I1614" s="4613"/>
      <c r="J1614" s="4613">
        <f>ROUND(I1614*H1614,2)</f>
        <v>0</v>
      </c>
      <c r="K1614" s="4610" t="s">
        <v>142</v>
      </c>
      <c r="L1614" s="2071"/>
      <c r="M1614" s="2190" t="s">
        <v>3146</v>
      </c>
      <c r="N1614" s="2163" t="s">
        <v>3181</v>
      </c>
      <c r="O1614" s="2191">
        <v>3.016</v>
      </c>
      <c r="P1614" s="2191">
        <f>O1614*H1614</f>
        <v>87.777664000000001</v>
      </c>
      <c r="Q1614" s="2191">
        <v>0</v>
      </c>
      <c r="R1614" s="2191">
        <f>Q1614*H1614</f>
        <v>0</v>
      </c>
      <c r="S1614" s="2191">
        <v>0</v>
      </c>
      <c r="T1614" s="2192">
        <f>S1614*H1614</f>
        <v>0</v>
      </c>
      <c r="AR1614" s="2193" t="s">
        <v>2894</v>
      </c>
      <c r="AT1614" s="2193" t="s">
        <v>3286</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5683</v>
      </c>
    </row>
    <row r="1615" spans="2:65" s="2070" customFormat="1" ht="24.2" customHeight="1">
      <c r="B1615" s="2164"/>
      <c r="C1615" s="4608" t="s">
        <v>11485</v>
      </c>
      <c r="D1615" s="4608" t="s">
        <v>3286</v>
      </c>
      <c r="E1615" s="4609" t="s">
        <v>5684</v>
      </c>
      <c r="F1615" s="4610" t="s">
        <v>5685</v>
      </c>
      <c r="G1615" s="4611" t="s">
        <v>302</v>
      </c>
      <c r="H1615" s="4612">
        <v>29.103999999999999</v>
      </c>
      <c r="I1615" s="4613"/>
      <c r="J1615" s="4613">
        <f>ROUND(I1615*H1615,2)</f>
        <v>0</v>
      </c>
      <c r="K1615" s="4610" t="s">
        <v>142</v>
      </c>
      <c r="L1615" s="2071"/>
      <c r="M1615" s="2190" t="s">
        <v>3146</v>
      </c>
      <c r="N1615" s="2163" t="s">
        <v>3181</v>
      </c>
      <c r="O1615" s="2191">
        <v>1.39</v>
      </c>
      <c r="P1615" s="2191">
        <f>O1615*H1615</f>
        <v>40.454559999999994</v>
      </c>
      <c r="Q1615" s="2191">
        <v>0</v>
      </c>
      <c r="R1615" s="2191">
        <f>Q1615*H1615</f>
        <v>0</v>
      </c>
      <c r="S1615" s="2191">
        <v>0</v>
      </c>
      <c r="T1615" s="2192">
        <f>S1615*H1615</f>
        <v>0</v>
      </c>
      <c r="AR1615" s="2193" t="s">
        <v>2894</v>
      </c>
      <c r="AT1615" s="2193" t="s">
        <v>3286</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5686</v>
      </c>
    </row>
    <row r="1616" spans="2:65" s="2178" customFormat="1" ht="22.9" customHeight="1">
      <c r="B1616" s="2179"/>
      <c r="D1616" s="2180" t="s">
        <v>3212</v>
      </c>
      <c r="E1616" s="2188" t="s">
        <v>5687</v>
      </c>
      <c r="F1616" s="2188" t="s">
        <v>5688</v>
      </c>
      <c r="J1616" s="2189">
        <f>BK1616</f>
        <v>0</v>
      </c>
      <c r="L1616" s="2179"/>
      <c r="M1616" s="2183"/>
      <c r="P1616" s="2184">
        <f>SUM(P1617:P1628)</f>
        <v>39.2151</v>
      </c>
      <c r="R1616" s="2184">
        <f>SUM(R1617:R1628)</f>
        <v>0.20864000000000002</v>
      </c>
      <c r="T1616" s="2185">
        <f>SUM(T1617:T1628)</f>
        <v>0</v>
      </c>
      <c r="AR1616" s="2180" t="s">
        <v>134</v>
      </c>
      <c r="AT1616" s="2186" t="s">
        <v>3212</v>
      </c>
      <c r="AU1616" s="2186" t="s">
        <v>133</v>
      </c>
      <c r="AY1616" s="2180" t="s">
        <v>3285</v>
      </c>
      <c r="BK1616" s="2187">
        <f>SUM(BK1617:BK1628)</f>
        <v>0</v>
      </c>
    </row>
    <row r="1617" spans="2:65" s="2070" customFormat="1" ht="16.5" customHeight="1">
      <c r="B1617" s="2164"/>
      <c r="C1617" s="4608" t="s">
        <v>11486</v>
      </c>
      <c r="D1617" s="4608" t="s">
        <v>3286</v>
      </c>
      <c r="E1617" s="4609" t="s">
        <v>5689</v>
      </c>
      <c r="F1617" s="4610" t="s">
        <v>5690</v>
      </c>
      <c r="G1617" s="4611" t="s">
        <v>141</v>
      </c>
      <c r="H1617" s="4612">
        <v>320</v>
      </c>
      <c r="I1617" s="4613"/>
      <c r="J1617" s="4613">
        <f>ROUND(I1617*H1617,2)</f>
        <v>0</v>
      </c>
      <c r="K1617" s="4610" t="s">
        <v>142</v>
      </c>
      <c r="L1617" s="2071"/>
      <c r="M1617" s="2190" t="s">
        <v>3146</v>
      </c>
      <c r="N1617" s="2163" t="s">
        <v>3181</v>
      </c>
      <c r="O1617" s="2191">
        <v>0.12</v>
      </c>
      <c r="P1617" s="2191">
        <f>O1617*H1617</f>
        <v>38.4</v>
      </c>
      <c r="Q1617" s="2191">
        <v>6.0000000000000002E-5</v>
      </c>
      <c r="R1617" s="2191">
        <f>Q1617*H1617</f>
        <v>1.9200000000000002E-2</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5691</v>
      </c>
    </row>
    <row r="1618" spans="2:65" s="2195" customFormat="1">
      <c r="B1618" s="2196"/>
      <c r="D1618" s="2197" t="s">
        <v>3303</v>
      </c>
      <c r="E1618" s="2198" t="s">
        <v>3146</v>
      </c>
      <c r="F1618" s="2199" t="s">
        <v>5692</v>
      </c>
      <c r="H1618" s="2198" t="s">
        <v>3146</v>
      </c>
      <c r="L1618" s="2196"/>
      <c r="M1618" s="2200"/>
      <c r="T1618" s="2201"/>
      <c r="AT1618" s="2198" t="s">
        <v>3303</v>
      </c>
      <c r="AU1618" s="2198" t="s">
        <v>134</v>
      </c>
      <c r="AV1618" s="2195" t="s">
        <v>133</v>
      </c>
      <c r="AW1618" s="2195" t="s">
        <v>3171</v>
      </c>
      <c r="AX1618" s="2195" t="s">
        <v>3213</v>
      </c>
      <c r="AY1618" s="2198" t="s">
        <v>3285</v>
      </c>
    </row>
    <row r="1619" spans="2:65" s="2209" customFormat="1">
      <c r="B1619" s="2210"/>
      <c r="D1619" s="2197" t="s">
        <v>3303</v>
      </c>
      <c r="E1619" s="2211" t="s">
        <v>3146</v>
      </c>
      <c r="F1619" s="2212" t="s">
        <v>5693</v>
      </c>
      <c r="H1619" s="2213">
        <v>160</v>
      </c>
      <c r="L1619" s="2210"/>
      <c r="M1619" s="2214"/>
      <c r="T1619" s="2215"/>
      <c r="AT1619" s="2211" t="s">
        <v>3303</v>
      </c>
      <c r="AU1619" s="2211" t="s">
        <v>134</v>
      </c>
      <c r="AV1619" s="2209" t="s">
        <v>134</v>
      </c>
      <c r="AW1619" s="2209" t="s">
        <v>3171</v>
      </c>
      <c r="AX1619" s="2209" t="s">
        <v>3213</v>
      </c>
      <c r="AY1619" s="2211" t="s">
        <v>3285</v>
      </c>
    </row>
    <row r="1620" spans="2:65" s="2195" customFormat="1">
      <c r="B1620" s="2196"/>
      <c r="D1620" s="2197" t="s">
        <v>3303</v>
      </c>
      <c r="E1620" s="2198" t="s">
        <v>3146</v>
      </c>
      <c r="F1620" s="2199" t="s">
        <v>5694</v>
      </c>
      <c r="H1620" s="2198" t="s">
        <v>3146</v>
      </c>
      <c r="L1620" s="2196"/>
      <c r="M1620" s="2200"/>
      <c r="T1620" s="2201"/>
      <c r="AT1620" s="2198" t="s">
        <v>3303</v>
      </c>
      <c r="AU1620" s="2198" t="s">
        <v>134</v>
      </c>
      <c r="AV1620" s="2195" t="s">
        <v>133</v>
      </c>
      <c r="AW1620" s="2195" t="s">
        <v>3171</v>
      </c>
      <c r="AX1620" s="2195" t="s">
        <v>3213</v>
      </c>
      <c r="AY1620" s="2198" t="s">
        <v>3285</v>
      </c>
    </row>
    <row r="1621" spans="2:65" s="2209" customFormat="1">
      <c r="B1621" s="2210"/>
      <c r="D1621" s="2197" t="s">
        <v>3303</v>
      </c>
      <c r="E1621" s="2211" t="s">
        <v>3146</v>
      </c>
      <c r="F1621" s="2212" t="s">
        <v>5693</v>
      </c>
      <c r="H1621" s="2213">
        <v>160</v>
      </c>
      <c r="L1621" s="2210"/>
      <c r="M1621" s="2214"/>
      <c r="T1621" s="2215"/>
      <c r="AT1621" s="2211" t="s">
        <v>3303</v>
      </c>
      <c r="AU1621" s="2211" t="s">
        <v>134</v>
      </c>
      <c r="AV1621" s="2209" t="s">
        <v>134</v>
      </c>
      <c r="AW1621" s="2209" t="s">
        <v>3171</v>
      </c>
      <c r="AX1621" s="2209" t="s">
        <v>3213</v>
      </c>
      <c r="AY1621" s="2211" t="s">
        <v>3285</v>
      </c>
    </row>
    <row r="1622" spans="2:65" s="2216" customFormat="1">
      <c r="B1622" s="2217"/>
      <c r="D1622" s="2197" t="s">
        <v>3303</v>
      </c>
      <c r="E1622" s="2218" t="s">
        <v>3146</v>
      </c>
      <c r="F1622" s="2219" t="s">
        <v>3306</v>
      </c>
      <c r="H1622" s="2220">
        <v>320</v>
      </c>
      <c r="L1622" s="2217"/>
      <c r="M1622" s="2221"/>
      <c r="T1622" s="2222"/>
      <c r="AT1622" s="2218" t="s">
        <v>3303</v>
      </c>
      <c r="AU1622" s="2218" t="s">
        <v>134</v>
      </c>
      <c r="AV1622" s="2216" t="s">
        <v>856</v>
      </c>
      <c r="AW1622" s="2216" t="s">
        <v>3171</v>
      </c>
      <c r="AX1622" s="2216" t="s">
        <v>133</v>
      </c>
      <c r="AY1622" s="2218" t="s">
        <v>3285</v>
      </c>
    </row>
    <row r="1623" spans="2:65" s="2070" customFormat="1" ht="21.75" customHeight="1">
      <c r="B1623" s="2164"/>
      <c r="C1623" s="4614" t="s">
        <v>11487</v>
      </c>
      <c r="D1623" s="4614" t="s">
        <v>135</v>
      </c>
      <c r="E1623" s="4615" t="s">
        <v>5695</v>
      </c>
      <c r="F1623" s="4616" t="s">
        <v>5696</v>
      </c>
      <c r="G1623" s="4617" t="s">
        <v>141</v>
      </c>
      <c r="H1623" s="4618">
        <v>345.6</v>
      </c>
      <c r="I1623" s="4619"/>
      <c r="J1623" s="4619">
        <f>ROUND(I1623*H1623,2)</f>
        <v>0</v>
      </c>
      <c r="K1623" s="4616" t="s">
        <v>142</v>
      </c>
      <c r="L1623" s="2223"/>
      <c r="M1623" s="2224" t="s">
        <v>3146</v>
      </c>
      <c r="N1623" s="2225" t="s">
        <v>3181</v>
      </c>
      <c r="O1623" s="2191">
        <v>0</v>
      </c>
      <c r="P1623" s="2191">
        <f>O1623*H1623</f>
        <v>0</v>
      </c>
      <c r="Q1623" s="2191">
        <v>4.0000000000000002E-4</v>
      </c>
      <c r="R1623" s="2191">
        <f>Q1623*H1623</f>
        <v>0.13824000000000003</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5697</v>
      </c>
    </row>
    <row r="1624" spans="2:65" s="2209" customFormat="1">
      <c r="B1624" s="2210"/>
      <c r="D1624" s="2197" t="s">
        <v>3303</v>
      </c>
      <c r="F1624" s="2212" t="s">
        <v>5698</v>
      </c>
      <c r="H1624" s="2213">
        <v>345.6</v>
      </c>
      <c r="L1624" s="2210"/>
      <c r="M1624" s="2214"/>
      <c r="T1624" s="2215"/>
      <c r="AT1624" s="2211" t="s">
        <v>3303</v>
      </c>
      <c r="AU1624" s="2211" t="s">
        <v>134</v>
      </c>
      <c r="AV1624" s="2209" t="s">
        <v>134</v>
      </c>
      <c r="AW1624" s="2209" t="s">
        <v>3148</v>
      </c>
      <c r="AX1624" s="2209" t="s">
        <v>133</v>
      </c>
      <c r="AY1624" s="2211" t="s">
        <v>3285</v>
      </c>
    </row>
    <row r="1625" spans="2:65" s="2070" customFormat="1" ht="16.5" customHeight="1">
      <c r="B1625" s="2164"/>
      <c r="C1625" s="4614" t="s">
        <v>11488</v>
      </c>
      <c r="D1625" s="4614" t="s">
        <v>135</v>
      </c>
      <c r="E1625" s="4615" t="s">
        <v>5699</v>
      </c>
      <c r="F1625" s="4616" t="s">
        <v>5700</v>
      </c>
      <c r="G1625" s="4617" t="s">
        <v>141</v>
      </c>
      <c r="H1625" s="4618">
        <v>160</v>
      </c>
      <c r="I1625" s="4619"/>
      <c r="J1625" s="4619">
        <f>ROUND(I1625*H1625,2)</f>
        <v>0</v>
      </c>
      <c r="K1625" s="4616" t="s">
        <v>142</v>
      </c>
      <c r="L1625" s="2223"/>
      <c r="M1625" s="2224" t="s">
        <v>3146</v>
      </c>
      <c r="N1625" s="2225" t="s">
        <v>3181</v>
      </c>
      <c r="O1625" s="2191">
        <v>0</v>
      </c>
      <c r="P1625" s="2191">
        <f>O1625*H1625</f>
        <v>0</v>
      </c>
      <c r="Q1625" s="2191">
        <v>3.2000000000000003E-4</v>
      </c>
      <c r="R1625" s="2191">
        <f>Q1625*H1625</f>
        <v>5.1200000000000002E-2</v>
      </c>
      <c r="S1625" s="2191">
        <v>0</v>
      </c>
      <c r="T1625" s="2192">
        <f>S1625*H1625</f>
        <v>0</v>
      </c>
      <c r="AR1625" s="2193" t="s">
        <v>3389</v>
      </c>
      <c r="AT1625" s="2193" t="s">
        <v>135</v>
      </c>
      <c r="AU1625" s="2193" t="s">
        <v>134</v>
      </c>
      <c r="AY1625" s="2056" t="s">
        <v>3285</v>
      </c>
      <c r="BE1625" s="2194">
        <f>IF(N1625="základní",J1625,0)</f>
        <v>0</v>
      </c>
      <c r="BF1625" s="2194">
        <f>IF(N1625="snížená",J1625,0)</f>
        <v>0</v>
      </c>
      <c r="BG1625" s="2194">
        <f>IF(N1625="zákl. přenesená",J1625,0)</f>
        <v>0</v>
      </c>
      <c r="BH1625" s="2194">
        <f>IF(N1625="sníž. přenesená",J1625,0)</f>
        <v>0</v>
      </c>
      <c r="BI1625" s="2194">
        <f>IF(N1625="nulová",J1625,0)</f>
        <v>0</v>
      </c>
      <c r="BJ1625" s="2056" t="s">
        <v>134</v>
      </c>
      <c r="BK1625" s="2194">
        <f>ROUND(I1625*H1625,2)</f>
        <v>0</v>
      </c>
      <c r="BL1625" s="2056" t="s">
        <v>2894</v>
      </c>
      <c r="BM1625" s="2193" t="s">
        <v>5701</v>
      </c>
    </row>
    <row r="1626" spans="2:65" s="2209" customFormat="1">
      <c r="B1626" s="2210"/>
      <c r="D1626" s="2197" t="s">
        <v>3303</v>
      </c>
      <c r="E1626" s="2211" t="s">
        <v>3146</v>
      </c>
      <c r="F1626" s="2212" t="s">
        <v>5693</v>
      </c>
      <c r="H1626" s="2213">
        <v>160</v>
      </c>
      <c r="L1626" s="2210"/>
      <c r="M1626" s="2214"/>
      <c r="T1626" s="2215"/>
      <c r="AT1626" s="2211" t="s">
        <v>3303</v>
      </c>
      <c r="AU1626" s="2211" t="s">
        <v>134</v>
      </c>
      <c r="AV1626" s="2209" t="s">
        <v>134</v>
      </c>
      <c r="AW1626" s="2209" t="s">
        <v>3171</v>
      </c>
      <c r="AX1626" s="2209" t="s">
        <v>133</v>
      </c>
      <c r="AY1626" s="2211" t="s">
        <v>3285</v>
      </c>
    </row>
    <row r="1627" spans="2:65" s="2070" customFormat="1" ht="24.2" customHeight="1">
      <c r="B1627" s="2164"/>
      <c r="C1627" s="4608" t="s">
        <v>11489</v>
      </c>
      <c r="D1627" s="4608" t="s">
        <v>3286</v>
      </c>
      <c r="E1627" s="4609" t="s">
        <v>11490</v>
      </c>
      <c r="F1627" s="4610" t="s">
        <v>11491</v>
      </c>
      <c r="G1627" s="4611" t="s">
        <v>302</v>
      </c>
      <c r="H1627" s="4612">
        <v>0.20899999999999999</v>
      </c>
      <c r="I1627" s="4613"/>
      <c r="J1627" s="4613">
        <f>ROUND(I1627*H1627,2)</f>
        <v>0</v>
      </c>
      <c r="K1627" s="4610" t="s">
        <v>142</v>
      </c>
      <c r="L1627" s="2071"/>
      <c r="M1627" s="2190" t="s">
        <v>3146</v>
      </c>
      <c r="N1627" s="2163" t="s">
        <v>3181</v>
      </c>
      <c r="O1627" s="2191">
        <v>2.44</v>
      </c>
      <c r="P1627" s="2191">
        <f>O1627*H1627</f>
        <v>0.50995999999999997</v>
      </c>
      <c r="Q1627" s="2191">
        <v>0</v>
      </c>
      <c r="R1627" s="2191">
        <f>Q1627*H1627</f>
        <v>0</v>
      </c>
      <c r="S1627" s="2191">
        <v>0</v>
      </c>
      <c r="T1627" s="2192">
        <f>S1627*H1627</f>
        <v>0</v>
      </c>
      <c r="AR1627" s="2193" t="s">
        <v>2894</v>
      </c>
      <c r="AT1627" s="2193" t="s">
        <v>3286</v>
      </c>
      <c r="AU1627" s="2193" t="s">
        <v>134</v>
      </c>
      <c r="AY1627" s="2056" t="s">
        <v>3285</v>
      </c>
      <c r="BE1627" s="2194">
        <f>IF(N1627="základní",J1627,0)</f>
        <v>0</v>
      </c>
      <c r="BF1627" s="2194">
        <f>IF(N1627="snížená",J1627,0)</f>
        <v>0</v>
      </c>
      <c r="BG1627" s="2194">
        <f>IF(N1627="zákl. přenesená",J1627,0)</f>
        <v>0</v>
      </c>
      <c r="BH1627" s="2194">
        <f>IF(N1627="sníž. přenesená",J1627,0)</f>
        <v>0</v>
      </c>
      <c r="BI1627" s="2194">
        <f>IF(N1627="nulová",J1627,0)</f>
        <v>0</v>
      </c>
      <c r="BJ1627" s="2056" t="s">
        <v>134</v>
      </c>
      <c r="BK1627" s="2194">
        <f>ROUND(I1627*H1627,2)</f>
        <v>0</v>
      </c>
      <c r="BL1627" s="2056" t="s">
        <v>2894</v>
      </c>
      <c r="BM1627" s="2193" t="s">
        <v>11492</v>
      </c>
    </row>
    <row r="1628" spans="2:65" s="2070" customFormat="1" ht="24.2" customHeight="1">
      <c r="B1628" s="2164"/>
      <c r="C1628" s="4608" t="s">
        <v>11493</v>
      </c>
      <c r="D1628" s="4608" t="s">
        <v>3286</v>
      </c>
      <c r="E1628" s="4609" t="s">
        <v>11494</v>
      </c>
      <c r="F1628" s="4610" t="s">
        <v>11495</v>
      </c>
      <c r="G1628" s="4611" t="s">
        <v>302</v>
      </c>
      <c r="H1628" s="4612">
        <v>0.20899999999999999</v>
      </c>
      <c r="I1628" s="4613"/>
      <c r="J1628" s="4613">
        <f>ROUND(I1628*H1628,2)</f>
        <v>0</v>
      </c>
      <c r="K1628" s="4610" t="s">
        <v>142</v>
      </c>
      <c r="L1628" s="2071"/>
      <c r="M1628" s="2190" t="s">
        <v>3146</v>
      </c>
      <c r="N1628" s="2163" t="s">
        <v>3181</v>
      </c>
      <c r="O1628" s="2191">
        <v>1.46</v>
      </c>
      <c r="P1628" s="2191">
        <f>O1628*H1628</f>
        <v>0.30513999999999997</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11496</v>
      </c>
    </row>
    <row r="1629" spans="2:65" s="2178" customFormat="1" ht="22.9" customHeight="1">
      <c r="B1629" s="2179"/>
      <c r="D1629" s="2180" t="s">
        <v>3212</v>
      </c>
      <c r="E1629" s="2188" t="s">
        <v>4125</v>
      </c>
      <c r="F1629" s="2188" t="s">
        <v>4126</v>
      </c>
      <c r="J1629" s="2189">
        <f>BK1629</f>
        <v>0</v>
      </c>
      <c r="L1629" s="2179"/>
      <c r="M1629" s="2183"/>
      <c r="P1629" s="2184">
        <f>SUM(P1630:P1642)</f>
        <v>4.2047999999999996</v>
      </c>
      <c r="R1629" s="2184">
        <f>SUM(R1630:R1642)</f>
        <v>7.2036000000000003E-2</v>
      </c>
      <c r="T1629" s="2185">
        <f>SUM(T1630:T1642)</f>
        <v>0</v>
      </c>
      <c r="AR1629" s="2180" t="s">
        <v>134</v>
      </c>
      <c r="AT1629" s="2186" t="s">
        <v>3212</v>
      </c>
      <c r="AU1629" s="2186" t="s">
        <v>133</v>
      </c>
      <c r="AY1629" s="2180" t="s">
        <v>3285</v>
      </c>
      <c r="BK1629" s="2187">
        <f>SUM(BK1630:BK1642)</f>
        <v>0</v>
      </c>
    </row>
    <row r="1630" spans="2:65" s="2070" customFormat="1" ht="24.2" customHeight="1">
      <c r="B1630" s="2164"/>
      <c r="C1630" s="4608" t="s">
        <v>11497</v>
      </c>
      <c r="D1630" s="4608" t="s">
        <v>3286</v>
      </c>
      <c r="E1630" s="4609" t="s">
        <v>5702</v>
      </c>
      <c r="F1630" s="4610" t="s">
        <v>5703</v>
      </c>
      <c r="G1630" s="4611" t="s">
        <v>611</v>
      </c>
      <c r="H1630" s="4612">
        <v>7.2</v>
      </c>
      <c r="I1630" s="4613"/>
      <c r="J1630" s="4613">
        <f>ROUND(I1630*H1630,2)</f>
        <v>0</v>
      </c>
      <c r="K1630" s="4610" t="s">
        <v>142</v>
      </c>
      <c r="L1630" s="2071"/>
      <c r="M1630" s="2190" t="s">
        <v>3146</v>
      </c>
      <c r="N1630" s="2163" t="s">
        <v>3181</v>
      </c>
      <c r="O1630" s="2191">
        <v>0.58399999999999996</v>
      </c>
      <c r="P1630" s="2191">
        <f>O1630*H1630</f>
        <v>4.2047999999999996</v>
      </c>
      <c r="Q1630" s="2191">
        <v>6.3000000000000003E-4</v>
      </c>
      <c r="R1630" s="2191">
        <f>Q1630*H1630</f>
        <v>4.5360000000000001E-3</v>
      </c>
      <c r="S1630" s="2191">
        <v>0</v>
      </c>
      <c r="T1630" s="2192">
        <f>S1630*H1630</f>
        <v>0</v>
      </c>
      <c r="AR1630" s="2193" t="s">
        <v>2894</v>
      </c>
      <c r="AT1630" s="2193" t="s">
        <v>3286</v>
      </c>
      <c r="AU1630" s="2193" t="s">
        <v>134</v>
      </c>
      <c r="AY1630" s="2056" t="s">
        <v>3285</v>
      </c>
      <c r="BE1630" s="2194">
        <f>IF(N1630="základní",J1630,0)</f>
        <v>0</v>
      </c>
      <c r="BF1630" s="2194">
        <f>IF(N1630="snížená",J1630,0)</f>
        <v>0</v>
      </c>
      <c r="BG1630" s="2194">
        <f>IF(N1630="zákl. přenesená",J1630,0)</f>
        <v>0</v>
      </c>
      <c r="BH1630" s="2194">
        <f>IF(N1630="sníž. přenesená",J1630,0)</f>
        <v>0</v>
      </c>
      <c r="BI1630" s="2194">
        <f>IF(N1630="nulová",J1630,0)</f>
        <v>0</v>
      </c>
      <c r="BJ1630" s="2056" t="s">
        <v>134</v>
      </c>
      <c r="BK1630" s="2194">
        <f>ROUND(I1630*H1630,2)</f>
        <v>0</v>
      </c>
      <c r="BL1630" s="2056" t="s">
        <v>2894</v>
      </c>
      <c r="BM1630" s="2193" t="s">
        <v>5704</v>
      </c>
    </row>
    <row r="1631" spans="2:65" s="2195" customFormat="1">
      <c r="B1631" s="2196"/>
      <c r="D1631" s="2197" t="s">
        <v>3303</v>
      </c>
      <c r="E1631" s="2198" t="s">
        <v>3146</v>
      </c>
      <c r="F1631" s="2199" t="s">
        <v>5705</v>
      </c>
      <c r="H1631" s="2198" t="s">
        <v>3146</v>
      </c>
      <c r="L1631" s="2196"/>
      <c r="M1631" s="2200"/>
      <c r="T1631" s="2201"/>
      <c r="AT1631" s="2198" t="s">
        <v>3303</v>
      </c>
      <c r="AU1631" s="2198" t="s">
        <v>134</v>
      </c>
      <c r="AV1631" s="2195" t="s">
        <v>133</v>
      </c>
      <c r="AW1631" s="2195" t="s">
        <v>3171</v>
      </c>
      <c r="AX1631" s="2195" t="s">
        <v>3213</v>
      </c>
      <c r="AY1631" s="2198" t="s">
        <v>3285</v>
      </c>
    </row>
    <row r="1632" spans="2:65" s="2209" customFormat="1">
      <c r="B1632" s="2210"/>
      <c r="D1632" s="2197" t="s">
        <v>3303</v>
      </c>
      <c r="E1632" s="2211" t="s">
        <v>3146</v>
      </c>
      <c r="F1632" s="2212" t="s">
        <v>5706</v>
      </c>
      <c r="H1632" s="2213">
        <v>7.2</v>
      </c>
      <c r="L1632" s="2210"/>
      <c r="M1632" s="2214"/>
      <c r="T1632" s="2215"/>
      <c r="AT1632" s="2211" t="s">
        <v>3303</v>
      </c>
      <c r="AU1632" s="2211" t="s">
        <v>134</v>
      </c>
      <c r="AV1632" s="2209" t="s">
        <v>134</v>
      </c>
      <c r="AW1632" s="2209" t="s">
        <v>3171</v>
      </c>
      <c r="AX1632" s="2209" t="s">
        <v>3213</v>
      </c>
      <c r="AY1632" s="2211" t="s">
        <v>3285</v>
      </c>
    </row>
    <row r="1633" spans="2:65" s="2216" customFormat="1">
      <c r="B1633" s="2217"/>
      <c r="D1633" s="2197" t="s">
        <v>3303</v>
      </c>
      <c r="E1633" s="2218" t="s">
        <v>3146</v>
      </c>
      <c r="F1633" s="2219" t="s">
        <v>3306</v>
      </c>
      <c r="H1633" s="2220">
        <v>7.2</v>
      </c>
      <c r="L1633" s="2217"/>
      <c r="M1633" s="2221"/>
      <c r="T1633" s="2222"/>
      <c r="AT1633" s="2218" t="s">
        <v>3303</v>
      </c>
      <c r="AU1633" s="2218" t="s">
        <v>134</v>
      </c>
      <c r="AV1633" s="2216" t="s">
        <v>856</v>
      </c>
      <c r="AW1633" s="2216" t="s">
        <v>3171</v>
      </c>
      <c r="AX1633" s="2216" t="s">
        <v>133</v>
      </c>
      <c r="AY1633" s="2218" t="s">
        <v>3285</v>
      </c>
    </row>
    <row r="1634" spans="2:65" s="2070" customFormat="1" ht="24.2" customHeight="1">
      <c r="B1634" s="2164"/>
      <c r="C1634" s="4614" t="s">
        <v>11498</v>
      </c>
      <c r="D1634" s="4614" t="s">
        <v>135</v>
      </c>
      <c r="E1634" s="4615" t="s">
        <v>5707</v>
      </c>
      <c r="F1634" s="4616" t="s">
        <v>5708</v>
      </c>
      <c r="G1634" s="4617" t="s">
        <v>611</v>
      </c>
      <c r="H1634" s="4618">
        <v>9</v>
      </c>
      <c r="I1634" s="4619"/>
      <c r="J1634" s="4619">
        <f>ROUND(I1634*H1634,2)</f>
        <v>0</v>
      </c>
      <c r="K1634" s="4616" t="s">
        <v>142</v>
      </c>
      <c r="L1634" s="2223"/>
      <c r="M1634" s="2224" t="s">
        <v>3146</v>
      </c>
      <c r="N1634" s="2225" t="s">
        <v>3181</v>
      </c>
      <c r="O1634" s="2191">
        <v>0</v>
      </c>
      <c r="P1634" s="2191">
        <f>O1634*H1634</f>
        <v>0</v>
      </c>
      <c r="Q1634" s="2191">
        <v>7.4999999999999997E-3</v>
      </c>
      <c r="R1634" s="2191">
        <f>Q1634*H1634</f>
        <v>6.7500000000000004E-2</v>
      </c>
      <c r="S1634" s="2191">
        <v>0</v>
      </c>
      <c r="T1634" s="2192">
        <f>S1634*H1634</f>
        <v>0</v>
      </c>
      <c r="AR1634" s="2193" t="s">
        <v>3389</v>
      </c>
      <c r="AT1634" s="2193" t="s">
        <v>135</v>
      </c>
      <c r="AU1634" s="2193" t="s">
        <v>134</v>
      </c>
      <c r="AY1634" s="2056" t="s">
        <v>3285</v>
      </c>
      <c r="BE1634" s="2194">
        <f>IF(N1634="základní",J1634,0)</f>
        <v>0</v>
      </c>
      <c r="BF1634" s="2194">
        <f>IF(N1634="snížená",J1634,0)</f>
        <v>0</v>
      </c>
      <c r="BG1634" s="2194">
        <f>IF(N1634="zákl. přenesená",J1634,0)</f>
        <v>0</v>
      </c>
      <c r="BH1634" s="2194">
        <f>IF(N1634="sníž. přenesená",J1634,0)</f>
        <v>0</v>
      </c>
      <c r="BI1634" s="2194">
        <f>IF(N1634="nulová",J1634,0)</f>
        <v>0</v>
      </c>
      <c r="BJ1634" s="2056" t="s">
        <v>134</v>
      </c>
      <c r="BK1634" s="2194">
        <f>ROUND(I1634*H1634,2)</f>
        <v>0</v>
      </c>
      <c r="BL1634" s="2056" t="s">
        <v>2894</v>
      </c>
      <c r="BM1634" s="2193" t="s">
        <v>5709</v>
      </c>
    </row>
    <row r="1635" spans="2:65" s="2195" customFormat="1">
      <c r="B1635" s="2196"/>
      <c r="D1635" s="2197" t="s">
        <v>3303</v>
      </c>
      <c r="E1635" s="2198" t="s">
        <v>3146</v>
      </c>
      <c r="F1635" s="2199" t="s">
        <v>5705</v>
      </c>
      <c r="H1635" s="2198" t="s">
        <v>3146</v>
      </c>
      <c r="L1635" s="2196"/>
      <c r="M1635" s="2200"/>
      <c r="T1635" s="2201"/>
      <c r="AT1635" s="2198" t="s">
        <v>3303</v>
      </c>
      <c r="AU1635" s="2198" t="s">
        <v>134</v>
      </c>
      <c r="AV1635" s="2195" t="s">
        <v>133</v>
      </c>
      <c r="AW1635" s="2195" t="s">
        <v>3171</v>
      </c>
      <c r="AX1635" s="2195" t="s">
        <v>3213</v>
      </c>
      <c r="AY1635" s="2198" t="s">
        <v>3285</v>
      </c>
    </row>
    <row r="1636" spans="2:65" s="2209" customFormat="1">
      <c r="B1636" s="2210"/>
      <c r="D1636" s="2197" t="s">
        <v>3303</v>
      </c>
      <c r="E1636" s="2211" t="s">
        <v>3146</v>
      </c>
      <c r="F1636" s="2212" t="s">
        <v>5706</v>
      </c>
      <c r="H1636" s="2213">
        <v>7.2</v>
      </c>
      <c r="L1636" s="2210"/>
      <c r="M1636" s="2214"/>
      <c r="T1636" s="2215"/>
      <c r="AT1636" s="2211" t="s">
        <v>3303</v>
      </c>
      <c r="AU1636" s="2211" t="s">
        <v>134</v>
      </c>
      <c r="AV1636" s="2209" t="s">
        <v>134</v>
      </c>
      <c r="AW1636" s="2209" t="s">
        <v>3171</v>
      </c>
      <c r="AX1636" s="2209" t="s">
        <v>3213</v>
      </c>
      <c r="AY1636" s="2211" t="s">
        <v>3285</v>
      </c>
    </row>
    <row r="1637" spans="2:65" s="2216" customFormat="1">
      <c r="B1637" s="2217"/>
      <c r="D1637" s="2197" t="s">
        <v>3303</v>
      </c>
      <c r="E1637" s="2218" t="s">
        <v>3146</v>
      </c>
      <c r="F1637" s="2219" t="s">
        <v>3306</v>
      </c>
      <c r="H1637" s="2220">
        <v>7.2</v>
      </c>
      <c r="L1637" s="2217"/>
      <c r="M1637" s="2221"/>
      <c r="T1637" s="2222"/>
      <c r="AT1637" s="2218" t="s">
        <v>3303</v>
      </c>
      <c r="AU1637" s="2218" t="s">
        <v>134</v>
      </c>
      <c r="AV1637" s="2216" t="s">
        <v>856</v>
      </c>
      <c r="AW1637" s="2216" t="s">
        <v>3171</v>
      </c>
      <c r="AX1637" s="2216" t="s">
        <v>133</v>
      </c>
      <c r="AY1637" s="2218" t="s">
        <v>3285</v>
      </c>
    </row>
    <row r="1638" spans="2:65" s="2209" customFormat="1">
      <c r="B1638" s="2210"/>
      <c r="D1638" s="2197" t="s">
        <v>3303</v>
      </c>
      <c r="F1638" s="2212" t="s">
        <v>5710</v>
      </c>
      <c r="H1638" s="2213">
        <v>9</v>
      </c>
      <c r="L1638" s="2210"/>
      <c r="M1638" s="2214"/>
      <c r="T1638" s="2215"/>
      <c r="AT1638" s="2211" t="s">
        <v>3303</v>
      </c>
      <c r="AU1638" s="2211" t="s">
        <v>134</v>
      </c>
      <c r="AV1638" s="2209" t="s">
        <v>134</v>
      </c>
      <c r="AW1638" s="2209" t="s">
        <v>3148</v>
      </c>
      <c r="AX1638" s="2209" t="s">
        <v>133</v>
      </c>
      <c r="AY1638" s="2211" t="s">
        <v>3285</v>
      </c>
    </row>
    <row r="1639" spans="2:65" s="2070" customFormat="1" ht="16.5" customHeight="1">
      <c r="B1639" s="2164"/>
      <c r="C1639" s="4608" t="s">
        <v>11499</v>
      </c>
      <c r="D1639" s="4608" t="s">
        <v>3286</v>
      </c>
      <c r="E1639" s="4609" t="s">
        <v>5711</v>
      </c>
      <c r="F1639" s="4610" t="s">
        <v>5712</v>
      </c>
      <c r="G1639" s="4611" t="s">
        <v>155</v>
      </c>
      <c r="H1639" s="4612">
        <v>40</v>
      </c>
      <c r="I1639" s="4613"/>
      <c r="J1639" s="4613">
        <f>ROUND(I1639*H1639,2)</f>
        <v>0</v>
      </c>
      <c r="K1639" s="4610" t="s">
        <v>3146</v>
      </c>
      <c r="L1639" s="2071"/>
      <c r="M1639" s="2190" t="s">
        <v>3146</v>
      </c>
      <c r="N1639" s="2163" t="s">
        <v>3181</v>
      </c>
      <c r="O1639" s="2191">
        <v>0</v>
      </c>
      <c r="P1639" s="2191">
        <f>O1639*H1639</f>
        <v>0</v>
      </c>
      <c r="Q1639" s="2191">
        <v>0</v>
      </c>
      <c r="R1639" s="2191">
        <f>Q1639*H1639</f>
        <v>0</v>
      </c>
      <c r="S1639" s="2191">
        <v>0</v>
      </c>
      <c r="T1639" s="2192">
        <f>S1639*H1639</f>
        <v>0</v>
      </c>
      <c r="AR1639" s="2193" t="s">
        <v>2894</v>
      </c>
      <c r="AT1639" s="2193" t="s">
        <v>3286</v>
      </c>
      <c r="AU1639" s="2193" t="s">
        <v>134</v>
      </c>
      <c r="AY1639" s="2056" t="s">
        <v>3285</v>
      </c>
      <c r="BE1639" s="2194">
        <f>IF(N1639="základní",J1639,0)</f>
        <v>0</v>
      </c>
      <c r="BF1639" s="2194">
        <f>IF(N1639="snížená",J1639,0)</f>
        <v>0</v>
      </c>
      <c r="BG1639" s="2194">
        <f>IF(N1639="zákl. přenesená",J1639,0)</f>
        <v>0</v>
      </c>
      <c r="BH1639" s="2194">
        <f>IF(N1639="sníž. přenesená",J1639,0)</f>
        <v>0</v>
      </c>
      <c r="BI1639" s="2194">
        <f>IF(N1639="nulová",J1639,0)</f>
        <v>0</v>
      </c>
      <c r="BJ1639" s="2056" t="s">
        <v>134</v>
      </c>
      <c r="BK1639" s="2194">
        <f>ROUND(I1639*H1639,2)</f>
        <v>0</v>
      </c>
      <c r="BL1639" s="2056" t="s">
        <v>2894</v>
      </c>
      <c r="BM1639" s="2193" t="s">
        <v>5713</v>
      </c>
    </row>
    <row r="1640" spans="2:65" s="2195" customFormat="1">
      <c r="B1640" s="2196"/>
      <c r="D1640" s="2197" t="s">
        <v>3303</v>
      </c>
      <c r="E1640" s="2198" t="s">
        <v>3146</v>
      </c>
      <c r="F1640" s="2199" t="s">
        <v>5714</v>
      </c>
      <c r="H1640" s="2198" t="s">
        <v>3146</v>
      </c>
      <c r="L1640" s="2196"/>
      <c r="M1640" s="2200"/>
      <c r="T1640" s="2201"/>
      <c r="AT1640" s="2198" t="s">
        <v>3303</v>
      </c>
      <c r="AU1640" s="2198" t="s">
        <v>134</v>
      </c>
      <c r="AV1640" s="2195" t="s">
        <v>133</v>
      </c>
      <c r="AW1640" s="2195" t="s">
        <v>3171</v>
      </c>
      <c r="AX1640" s="2195" t="s">
        <v>3213</v>
      </c>
      <c r="AY1640" s="2198" t="s">
        <v>3285</v>
      </c>
    </row>
    <row r="1641" spans="2:65" s="2209" customFormat="1">
      <c r="B1641" s="2210"/>
      <c r="D1641" s="2197" t="s">
        <v>3303</v>
      </c>
      <c r="E1641" s="2211" t="s">
        <v>3146</v>
      </c>
      <c r="F1641" s="2212" t="s">
        <v>5715</v>
      </c>
      <c r="H1641" s="2213">
        <v>40</v>
      </c>
      <c r="L1641" s="2210"/>
      <c r="M1641" s="2214"/>
      <c r="T1641" s="2215"/>
      <c r="AT1641" s="2211" t="s">
        <v>3303</v>
      </c>
      <c r="AU1641" s="2211" t="s">
        <v>134</v>
      </c>
      <c r="AV1641" s="2209" t="s">
        <v>134</v>
      </c>
      <c r="AW1641" s="2209" t="s">
        <v>3171</v>
      </c>
      <c r="AX1641" s="2209" t="s">
        <v>3213</v>
      </c>
      <c r="AY1641" s="2211" t="s">
        <v>3285</v>
      </c>
    </row>
    <row r="1642" spans="2:65" s="2216" customFormat="1">
      <c r="B1642" s="2217"/>
      <c r="D1642" s="2197" t="s">
        <v>3303</v>
      </c>
      <c r="E1642" s="2218" t="s">
        <v>3146</v>
      </c>
      <c r="F1642" s="2219" t="s">
        <v>3306</v>
      </c>
      <c r="H1642" s="2220">
        <v>40</v>
      </c>
      <c r="L1642" s="2217"/>
      <c r="M1642" s="2221"/>
      <c r="T1642" s="2222"/>
      <c r="AT1642" s="2218" t="s">
        <v>3303</v>
      </c>
      <c r="AU1642" s="2218" t="s">
        <v>134</v>
      </c>
      <c r="AV1642" s="2216" t="s">
        <v>856</v>
      </c>
      <c r="AW1642" s="2216" t="s">
        <v>3171</v>
      </c>
      <c r="AX1642" s="2216" t="s">
        <v>133</v>
      </c>
      <c r="AY1642" s="2218" t="s">
        <v>3285</v>
      </c>
    </row>
    <row r="1643" spans="2:65" s="2178" customFormat="1" ht="22.9" customHeight="1">
      <c r="B1643" s="2179"/>
      <c r="D1643" s="2180" t="s">
        <v>3212</v>
      </c>
      <c r="E1643" s="2188" t="s">
        <v>4159</v>
      </c>
      <c r="F1643" s="2188" t="s">
        <v>4160</v>
      </c>
      <c r="J1643" s="2189">
        <f>BK1643</f>
        <v>0</v>
      </c>
      <c r="L1643" s="2179"/>
      <c r="M1643" s="2183"/>
      <c r="P1643" s="2184">
        <f>SUM(P1644:P1703)</f>
        <v>11.326356000000001</v>
      </c>
      <c r="R1643" s="2184">
        <f>SUM(R1644:R1703)</f>
        <v>9.1131599999999986E-3</v>
      </c>
      <c r="T1643" s="2185">
        <f>SUM(T1644:T1703)</f>
        <v>0</v>
      </c>
      <c r="AR1643" s="2180" t="s">
        <v>134</v>
      </c>
      <c r="AT1643" s="2186" t="s">
        <v>3212</v>
      </c>
      <c r="AU1643" s="2186" t="s">
        <v>133</v>
      </c>
      <c r="AY1643" s="2180" t="s">
        <v>3285</v>
      </c>
      <c r="BK1643" s="2187">
        <f>SUM(BK1644:BK1703)</f>
        <v>0</v>
      </c>
    </row>
    <row r="1644" spans="2:65" s="2070" customFormat="1" ht="24.2" customHeight="1">
      <c r="B1644" s="2164"/>
      <c r="C1644" s="4608" t="s">
        <v>11500</v>
      </c>
      <c r="D1644" s="4608" t="s">
        <v>3286</v>
      </c>
      <c r="E1644" s="4609" t="s">
        <v>11501</v>
      </c>
      <c r="F1644" s="4610" t="s">
        <v>11502</v>
      </c>
      <c r="G1644" s="4611" t="s">
        <v>611</v>
      </c>
      <c r="H1644" s="4612">
        <v>21.698</v>
      </c>
      <c r="I1644" s="4613"/>
      <c r="J1644" s="4613">
        <f>ROUND(I1644*H1644,2)</f>
        <v>0</v>
      </c>
      <c r="K1644" s="4610" t="s">
        <v>142</v>
      </c>
      <c r="L1644" s="2071"/>
      <c r="M1644" s="2190" t="s">
        <v>3146</v>
      </c>
      <c r="N1644" s="2163" t="s">
        <v>3181</v>
      </c>
      <c r="O1644" s="2191">
        <v>0.184</v>
      </c>
      <c r="P1644" s="2191">
        <f>O1644*H1644</f>
        <v>3.992432</v>
      </c>
      <c r="Q1644" s="2191">
        <v>1.3999999999999999E-4</v>
      </c>
      <c r="R1644" s="2191">
        <f>Q1644*H1644</f>
        <v>3.0377199999999998E-3</v>
      </c>
      <c r="S1644" s="2191">
        <v>0</v>
      </c>
      <c r="T1644" s="2192">
        <f>S1644*H1644</f>
        <v>0</v>
      </c>
      <c r="AR1644" s="2193" t="s">
        <v>2894</v>
      </c>
      <c r="AT1644" s="2193" t="s">
        <v>3286</v>
      </c>
      <c r="AU1644" s="2193" t="s">
        <v>134</v>
      </c>
      <c r="AY1644" s="2056" t="s">
        <v>3285</v>
      </c>
      <c r="BE1644" s="2194">
        <f>IF(N1644="základní",J1644,0)</f>
        <v>0</v>
      </c>
      <c r="BF1644" s="2194">
        <f>IF(N1644="snížená",J1644,0)</f>
        <v>0</v>
      </c>
      <c r="BG1644" s="2194">
        <f>IF(N1644="zákl. přenesená",J1644,0)</f>
        <v>0</v>
      </c>
      <c r="BH1644" s="2194">
        <f>IF(N1644="sníž. přenesená",J1644,0)</f>
        <v>0</v>
      </c>
      <c r="BI1644" s="2194">
        <f>IF(N1644="nulová",J1644,0)</f>
        <v>0</v>
      </c>
      <c r="BJ1644" s="2056" t="s">
        <v>134</v>
      </c>
      <c r="BK1644" s="2194">
        <f>ROUND(I1644*H1644,2)</f>
        <v>0</v>
      </c>
      <c r="BL1644" s="2056" t="s">
        <v>2894</v>
      </c>
      <c r="BM1644" s="2193" t="s">
        <v>11503</v>
      </c>
    </row>
    <row r="1645" spans="2:65" s="2195" customFormat="1">
      <c r="B1645" s="2196"/>
      <c r="D1645" s="2197" t="s">
        <v>3303</v>
      </c>
      <c r="E1645" s="2198" t="s">
        <v>3146</v>
      </c>
      <c r="F1645" s="2199" t="s">
        <v>5669</v>
      </c>
      <c r="H1645" s="2198" t="s">
        <v>3146</v>
      </c>
      <c r="L1645" s="2196"/>
      <c r="M1645" s="2200"/>
      <c r="T1645" s="2201"/>
      <c r="AT1645" s="2198" t="s">
        <v>3303</v>
      </c>
      <c r="AU1645" s="2198" t="s">
        <v>134</v>
      </c>
      <c r="AV1645" s="2195" t="s">
        <v>133</v>
      </c>
      <c r="AW1645" s="2195" t="s">
        <v>3171</v>
      </c>
      <c r="AX1645" s="2195" t="s">
        <v>3213</v>
      </c>
      <c r="AY1645" s="2198" t="s">
        <v>3285</v>
      </c>
    </row>
    <row r="1646" spans="2:65" s="2195" customFormat="1">
      <c r="B1646" s="2196"/>
      <c r="D1646" s="2197" t="s">
        <v>3303</v>
      </c>
      <c r="E1646" s="2198" t="s">
        <v>3146</v>
      </c>
      <c r="F1646" s="2199" t="s">
        <v>5670</v>
      </c>
      <c r="H1646" s="2198" t="s">
        <v>3146</v>
      </c>
      <c r="L1646" s="2196"/>
      <c r="M1646" s="2200"/>
      <c r="T1646" s="2201"/>
      <c r="AT1646" s="2198" t="s">
        <v>3303</v>
      </c>
      <c r="AU1646" s="2198" t="s">
        <v>134</v>
      </c>
      <c r="AV1646" s="2195" t="s">
        <v>133</v>
      </c>
      <c r="AW1646" s="2195" t="s">
        <v>3171</v>
      </c>
      <c r="AX1646" s="2195" t="s">
        <v>3213</v>
      </c>
      <c r="AY1646" s="2198" t="s">
        <v>3285</v>
      </c>
    </row>
    <row r="1647" spans="2:65" s="2195" customFormat="1">
      <c r="B1647" s="2196"/>
      <c r="D1647" s="2197" t="s">
        <v>3303</v>
      </c>
      <c r="E1647" s="2198" t="s">
        <v>3146</v>
      </c>
      <c r="F1647" s="2199" t="s">
        <v>11417</v>
      </c>
      <c r="H1647" s="2198" t="s">
        <v>3146</v>
      </c>
      <c r="L1647" s="2196"/>
      <c r="M1647" s="2200"/>
      <c r="T1647" s="2201"/>
      <c r="AT1647" s="2198" t="s">
        <v>3303</v>
      </c>
      <c r="AU1647" s="2198" t="s">
        <v>134</v>
      </c>
      <c r="AV1647" s="2195" t="s">
        <v>133</v>
      </c>
      <c r="AW1647" s="2195" t="s">
        <v>3171</v>
      </c>
      <c r="AX1647" s="2195" t="s">
        <v>3213</v>
      </c>
      <c r="AY1647" s="2198" t="s">
        <v>3285</v>
      </c>
    </row>
    <row r="1648" spans="2:65" s="2195" customFormat="1">
      <c r="B1648" s="2196"/>
      <c r="D1648" s="2197" t="s">
        <v>3303</v>
      </c>
      <c r="E1648" s="2198" t="s">
        <v>3146</v>
      </c>
      <c r="F1648" s="2199" t="s">
        <v>11418</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11504</v>
      </c>
      <c r="H1649" s="2213">
        <v>7.2</v>
      </c>
      <c r="L1649" s="2210"/>
      <c r="M1649" s="2214"/>
      <c r="T1649" s="2215"/>
      <c r="AT1649" s="2211" t="s">
        <v>3303</v>
      </c>
      <c r="AU1649" s="2211" t="s">
        <v>134</v>
      </c>
      <c r="AV1649" s="2209" t="s">
        <v>134</v>
      </c>
      <c r="AW1649" s="2209" t="s">
        <v>3171</v>
      </c>
      <c r="AX1649" s="2209" t="s">
        <v>3213</v>
      </c>
      <c r="AY1649" s="2211" t="s">
        <v>3285</v>
      </c>
    </row>
    <row r="1650" spans="2:65" s="2195" customFormat="1">
      <c r="B1650" s="2196"/>
      <c r="D1650" s="2197" t="s">
        <v>3303</v>
      </c>
      <c r="E1650" s="2198" t="s">
        <v>3146</v>
      </c>
      <c r="F1650" s="2199" t="s">
        <v>11420</v>
      </c>
      <c r="H1650" s="2198" t="s">
        <v>3146</v>
      </c>
      <c r="L1650" s="2196"/>
      <c r="M1650" s="2200"/>
      <c r="T1650" s="2201"/>
      <c r="AT1650" s="2198" t="s">
        <v>3303</v>
      </c>
      <c r="AU1650" s="2198" t="s">
        <v>134</v>
      </c>
      <c r="AV1650" s="2195" t="s">
        <v>133</v>
      </c>
      <c r="AW1650" s="2195" t="s">
        <v>3171</v>
      </c>
      <c r="AX1650" s="2195" t="s">
        <v>3213</v>
      </c>
      <c r="AY1650" s="2198" t="s">
        <v>3285</v>
      </c>
    </row>
    <row r="1651" spans="2:65" s="2209" customFormat="1">
      <c r="B1651" s="2210"/>
      <c r="D1651" s="2197" t="s">
        <v>3303</v>
      </c>
      <c r="E1651" s="2211" t="s">
        <v>3146</v>
      </c>
      <c r="F1651" s="2212" t="s">
        <v>11505</v>
      </c>
      <c r="H1651" s="2213">
        <v>2.87</v>
      </c>
      <c r="L1651" s="2210"/>
      <c r="M1651" s="2214"/>
      <c r="T1651" s="2215"/>
      <c r="AT1651" s="2211" t="s">
        <v>3303</v>
      </c>
      <c r="AU1651" s="2211" t="s">
        <v>134</v>
      </c>
      <c r="AV1651" s="2209" t="s">
        <v>134</v>
      </c>
      <c r="AW1651" s="2209" t="s">
        <v>3171</v>
      </c>
      <c r="AX1651" s="2209" t="s">
        <v>3213</v>
      </c>
      <c r="AY1651" s="2211" t="s">
        <v>3285</v>
      </c>
    </row>
    <row r="1652" spans="2:65" s="2195" customFormat="1">
      <c r="B1652" s="2196"/>
      <c r="D1652" s="2197" t="s">
        <v>3303</v>
      </c>
      <c r="E1652" s="2198" t="s">
        <v>3146</v>
      </c>
      <c r="F1652" s="2199" t="s">
        <v>11422</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11506</v>
      </c>
      <c r="H1653" s="2213">
        <v>6.36</v>
      </c>
      <c r="L1653" s="2210"/>
      <c r="M1653" s="2214"/>
      <c r="T1653" s="2215"/>
      <c r="AT1653" s="2211" t="s">
        <v>3303</v>
      </c>
      <c r="AU1653" s="2211" t="s">
        <v>134</v>
      </c>
      <c r="AV1653" s="2209" t="s">
        <v>134</v>
      </c>
      <c r="AW1653" s="2209" t="s">
        <v>3171</v>
      </c>
      <c r="AX1653" s="2209" t="s">
        <v>3213</v>
      </c>
      <c r="AY1653" s="2211" t="s">
        <v>3285</v>
      </c>
    </row>
    <row r="1654" spans="2:65" s="2195" customFormat="1">
      <c r="B1654" s="2196"/>
      <c r="D1654" s="2197" t="s">
        <v>3303</v>
      </c>
      <c r="E1654" s="2198" t="s">
        <v>3146</v>
      </c>
      <c r="F1654" s="2199" t="s">
        <v>11424</v>
      </c>
      <c r="H1654" s="2198" t="s">
        <v>3146</v>
      </c>
      <c r="L1654" s="2196"/>
      <c r="M1654" s="2200"/>
      <c r="T1654" s="2201"/>
      <c r="AT1654" s="2198" t="s">
        <v>3303</v>
      </c>
      <c r="AU1654" s="2198" t="s">
        <v>134</v>
      </c>
      <c r="AV1654" s="2195" t="s">
        <v>133</v>
      </c>
      <c r="AW1654" s="2195" t="s">
        <v>3171</v>
      </c>
      <c r="AX1654" s="2195" t="s">
        <v>3213</v>
      </c>
      <c r="AY1654" s="2198" t="s">
        <v>3285</v>
      </c>
    </row>
    <row r="1655" spans="2:65" s="2209" customFormat="1">
      <c r="B1655" s="2210"/>
      <c r="D1655" s="2197" t="s">
        <v>3303</v>
      </c>
      <c r="E1655" s="2211" t="s">
        <v>3146</v>
      </c>
      <c r="F1655" s="2212" t="s">
        <v>11507</v>
      </c>
      <c r="H1655" s="2213">
        <v>3.6</v>
      </c>
      <c r="L1655" s="2210"/>
      <c r="M1655" s="2214"/>
      <c r="T1655" s="2215"/>
      <c r="AT1655" s="2211" t="s">
        <v>3303</v>
      </c>
      <c r="AU1655" s="2211" t="s">
        <v>134</v>
      </c>
      <c r="AV1655" s="2209" t="s">
        <v>134</v>
      </c>
      <c r="AW1655" s="2209" t="s">
        <v>3171</v>
      </c>
      <c r="AX1655" s="2209" t="s">
        <v>3213</v>
      </c>
      <c r="AY1655" s="2211" t="s">
        <v>3285</v>
      </c>
    </row>
    <row r="1656" spans="2:65" s="2195" customFormat="1">
      <c r="B1656" s="2196"/>
      <c r="D1656" s="2197" t="s">
        <v>3303</v>
      </c>
      <c r="E1656" s="2198" t="s">
        <v>3146</v>
      </c>
      <c r="F1656" s="2199" t="s">
        <v>11426</v>
      </c>
      <c r="H1656" s="2198" t="s">
        <v>3146</v>
      </c>
      <c r="L1656" s="2196"/>
      <c r="M1656" s="2200"/>
      <c r="T1656" s="2201"/>
      <c r="AT1656" s="2198" t="s">
        <v>3303</v>
      </c>
      <c r="AU1656" s="2198" t="s">
        <v>134</v>
      </c>
      <c r="AV1656" s="2195" t="s">
        <v>133</v>
      </c>
      <c r="AW1656" s="2195" t="s">
        <v>3171</v>
      </c>
      <c r="AX1656" s="2195" t="s">
        <v>3213</v>
      </c>
      <c r="AY1656" s="2198" t="s">
        <v>3285</v>
      </c>
    </row>
    <row r="1657" spans="2:65" s="2209" customFormat="1">
      <c r="B1657" s="2210"/>
      <c r="D1657" s="2197" t="s">
        <v>3303</v>
      </c>
      <c r="E1657" s="2211" t="s">
        <v>3146</v>
      </c>
      <c r="F1657" s="2212" t="s">
        <v>11508</v>
      </c>
      <c r="H1657" s="2213">
        <v>0.9</v>
      </c>
      <c r="L1657" s="2210"/>
      <c r="M1657" s="2214"/>
      <c r="T1657" s="2215"/>
      <c r="AT1657" s="2211" t="s">
        <v>3303</v>
      </c>
      <c r="AU1657" s="2211" t="s">
        <v>134</v>
      </c>
      <c r="AV1657" s="2209" t="s">
        <v>134</v>
      </c>
      <c r="AW1657" s="2209" t="s">
        <v>3171</v>
      </c>
      <c r="AX1657" s="2209" t="s">
        <v>3213</v>
      </c>
      <c r="AY1657" s="2211" t="s">
        <v>3285</v>
      </c>
    </row>
    <row r="1658" spans="2:65" s="2202" customFormat="1">
      <c r="B1658" s="2203"/>
      <c r="D1658" s="2197" t="s">
        <v>3303</v>
      </c>
      <c r="E1658" s="2204" t="s">
        <v>3146</v>
      </c>
      <c r="F1658" s="2205" t="s">
        <v>3305</v>
      </c>
      <c r="H1658" s="2206">
        <v>20.93</v>
      </c>
      <c r="L1658" s="2203"/>
      <c r="M1658" s="2207"/>
      <c r="T1658" s="2208"/>
      <c r="AT1658" s="2204" t="s">
        <v>3303</v>
      </c>
      <c r="AU1658" s="2204" t="s">
        <v>134</v>
      </c>
      <c r="AV1658" s="2202" t="s">
        <v>854</v>
      </c>
      <c r="AW1658" s="2202" t="s">
        <v>3171</v>
      </c>
      <c r="AX1658" s="2202" t="s">
        <v>3213</v>
      </c>
      <c r="AY1658" s="2204" t="s">
        <v>3285</v>
      </c>
    </row>
    <row r="1659" spans="2:65" s="2195" customFormat="1">
      <c r="B1659" s="2196"/>
      <c r="D1659" s="2197" t="s">
        <v>3303</v>
      </c>
      <c r="E1659" s="2198" t="s">
        <v>3146</v>
      </c>
      <c r="F1659" s="2199" t="s">
        <v>11428</v>
      </c>
      <c r="H1659" s="2198" t="s">
        <v>3146</v>
      </c>
      <c r="L1659" s="2196"/>
      <c r="M1659" s="2200"/>
      <c r="T1659" s="2201"/>
      <c r="AT1659" s="2198" t="s">
        <v>3303</v>
      </c>
      <c r="AU1659" s="2198" t="s">
        <v>134</v>
      </c>
      <c r="AV1659" s="2195" t="s">
        <v>133</v>
      </c>
      <c r="AW1659" s="2195" t="s">
        <v>3171</v>
      </c>
      <c r="AX1659" s="2195" t="s">
        <v>3213</v>
      </c>
      <c r="AY1659" s="2198" t="s">
        <v>3285</v>
      </c>
    </row>
    <row r="1660" spans="2:65" s="2195" customFormat="1">
      <c r="B1660" s="2196"/>
      <c r="D1660" s="2197" t="s">
        <v>3303</v>
      </c>
      <c r="E1660" s="2198" t="s">
        <v>3146</v>
      </c>
      <c r="F1660" s="2199" t="s">
        <v>11429</v>
      </c>
      <c r="H1660" s="2198" t="s">
        <v>3146</v>
      </c>
      <c r="L1660" s="2196"/>
      <c r="M1660" s="2200"/>
      <c r="T1660" s="2201"/>
      <c r="AT1660" s="2198" t="s">
        <v>3303</v>
      </c>
      <c r="AU1660" s="2198" t="s">
        <v>134</v>
      </c>
      <c r="AV1660" s="2195" t="s">
        <v>133</v>
      </c>
      <c r="AW1660" s="2195" t="s">
        <v>3171</v>
      </c>
      <c r="AX1660" s="2195" t="s">
        <v>3213</v>
      </c>
      <c r="AY1660" s="2198" t="s">
        <v>3285</v>
      </c>
    </row>
    <row r="1661" spans="2:65" s="2209" customFormat="1">
      <c r="B1661" s="2210"/>
      <c r="D1661" s="2197" t="s">
        <v>3303</v>
      </c>
      <c r="E1661" s="2211" t="s">
        <v>3146</v>
      </c>
      <c r="F1661" s="2212" t="s">
        <v>11509</v>
      </c>
      <c r="H1661" s="2213">
        <v>0.76800000000000002</v>
      </c>
      <c r="L1661" s="2210"/>
      <c r="M1661" s="2214"/>
      <c r="T1661" s="2215"/>
      <c r="AT1661" s="2211" t="s">
        <v>3303</v>
      </c>
      <c r="AU1661" s="2211" t="s">
        <v>134</v>
      </c>
      <c r="AV1661" s="2209" t="s">
        <v>134</v>
      </c>
      <c r="AW1661" s="2209" t="s">
        <v>3171</v>
      </c>
      <c r="AX1661" s="2209" t="s">
        <v>3213</v>
      </c>
      <c r="AY1661" s="2211" t="s">
        <v>3285</v>
      </c>
    </row>
    <row r="1662" spans="2:65" s="2202" customFormat="1">
      <c r="B1662" s="2203"/>
      <c r="D1662" s="2197" t="s">
        <v>3303</v>
      </c>
      <c r="E1662" s="2204" t="s">
        <v>3146</v>
      </c>
      <c r="F1662" s="2205" t="s">
        <v>3305</v>
      </c>
      <c r="H1662" s="2206">
        <v>0.76800000000000002</v>
      </c>
      <c r="L1662" s="2203"/>
      <c r="M1662" s="2207"/>
      <c r="T1662" s="2208"/>
      <c r="AT1662" s="2204" t="s">
        <v>3303</v>
      </c>
      <c r="AU1662" s="2204" t="s">
        <v>134</v>
      </c>
      <c r="AV1662" s="2202" t="s">
        <v>854</v>
      </c>
      <c r="AW1662" s="2202" t="s">
        <v>3171</v>
      </c>
      <c r="AX1662" s="2202" t="s">
        <v>3213</v>
      </c>
      <c r="AY1662" s="2204" t="s">
        <v>3285</v>
      </c>
    </row>
    <row r="1663" spans="2:65" s="2216" customFormat="1">
      <c r="B1663" s="2217"/>
      <c r="D1663" s="2197" t="s">
        <v>3303</v>
      </c>
      <c r="E1663" s="2218" t="s">
        <v>3146</v>
      </c>
      <c r="F1663" s="2219" t="s">
        <v>3306</v>
      </c>
      <c r="H1663" s="2220">
        <v>21.698</v>
      </c>
      <c r="L1663" s="2217"/>
      <c r="M1663" s="2221"/>
      <c r="T1663" s="2222"/>
      <c r="AT1663" s="2218" t="s">
        <v>3303</v>
      </c>
      <c r="AU1663" s="2218" t="s">
        <v>134</v>
      </c>
      <c r="AV1663" s="2216" t="s">
        <v>856</v>
      </c>
      <c r="AW1663" s="2216" t="s">
        <v>3171</v>
      </c>
      <c r="AX1663" s="2216" t="s">
        <v>133</v>
      </c>
      <c r="AY1663" s="2218" t="s">
        <v>3285</v>
      </c>
    </row>
    <row r="1664" spans="2:65" s="2070" customFormat="1" ht="24.2" customHeight="1">
      <c r="B1664" s="2164"/>
      <c r="C1664" s="4608" t="s">
        <v>11510</v>
      </c>
      <c r="D1664" s="4608" t="s">
        <v>3286</v>
      </c>
      <c r="E1664" s="4609" t="s">
        <v>11511</v>
      </c>
      <c r="F1664" s="4610" t="s">
        <v>11512</v>
      </c>
      <c r="G1664" s="4611" t="s">
        <v>611</v>
      </c>
      <c r="H1664" s="4612">
        <v>21.698</v>
      </c>
      <c r="I1664" s="4613"/>
      <c r="J1664" s="4613">
        <f>ROUND(I1664*H1664,2)</f>
        <v>0</v>
      </c>
      <c r="K1664" s="4610" t="s">
        <v>142</v>
      </c>
      <c r="L1664" s="2071"/>
      <c r="M1664" s="2190" t="s">
        <v>3146</v>
      </c>
      <c r="N1664" s="2163" t="s">
        <v>3181</v>
      </c>
      <c r="O1664" s="2191">
        <v>0.16600000000000001</v>
      </c>
      <c r="P1664" s="2191">
        <f>O1664*H1664</f>
        <v>3.6018680000000001</v>
      </c>
      <c r="Q1664" s="2191">
        <v>1.3999999999999999E-4</v>
      </c>
      <c r="R1664" s="2191">
        <f>Q1664*H1664</f>
        <v>3.0377199999999998E-3</v>
      </c>
      <c r="S1664" s="2191">
        <v>0</v>
      </c>
      <c r="T1664" s="2192">
        <f>S1664*H1664</f>
        <v>0</v>
      </c>
      <c r="AR1664" s="2193" t="s">
        <v>2894</v>
      </c>
      <c r="AT1664" s="2193" t="s">
        <v>3286</v>
      </c>
      <c r="AU1664" s="2193" t="s">
        <v>134</v>
      </c>
      <c r="AY1664" s="2056" t="s">
        <v>3285</v>
      </c>
      <c r="BE1664" s="2194">
        <f>IF(N1664="základní",J1664,0)</f>
        <v>0</v>
      </c>
      <c r="BF1664" s="2194">
        <f>IF(N1664="snížená",J1664,0)</f>
        <v>0</v>
      </c>
      <c r="BG1664" s="2194">
        <f>IF(N1664="zákl. přenesená",J1664,0)</f>
        <v>0</v>
      </c>
      <c r="BH1664" s="2194">
        <f>IF(N1664="sníž. přenesená",J1664,0)</f>
        <v>0</v>
      </c>
      <c r="BI1664" s="2194">
        <f>IF(N1664="nulová",J1664,0)</f>
        <v>0</v>
      </c>
      <c r="BJ1664" s="2056" t="s">
        <v>134</v>
      </c>
      <c r="BK1664" s="2194">
        <f>ROUND(I1664*H1664,2)</f>
        <v>0</v>
      </c>
      <c r="BL1664" s="2056" t="s">
        <v>2894</v>
      </c>
      <c r="BM1664" s="2193" t="s">
        <v>11513</v>
      </c>
    </row>
    <row r="1665" spans="2:51" s="2195" customFormat="1">
      <c r="B1665" s="2196"/>
      <c r="D1665" s="2197" t="s">
        <v>3303</v>
      </c>
      <c r="E1665" s="2198" t="s">
        <v>3146</v>
      </c>
      <c r="F1665" s="2199" t="s">
        <v>5669</v>
      </c>
      <c r="H1665" s="2198" t="s">
        <v>3146</v>
      </c>
      <c r="L1665" s="2196"/>
      <c r="M1665" s="2200"/>
      <c r="T1665" s="2201"/>
      <c r="AT1665" s="2198" t="s">
        <v>3303</v>
      </c>
      <c r="AU1665" s="2198" t="s">
        <v>134</v>
      </c>
      <c r="AV1665" s="2195" t="s">
        <v>133</v>
      </c>
      <c r="AW1665" s="2195" t="s">
        <v>3171</v>
      </c>
      <c r="AX1665" s="2195" t="s">
        <v>3213</v>
      </c>
      <c r="AY1665" s="2198" t="s">
        <v>3285</v>
      </c>
    </row>
    <row r="1666" spans="2:51" s="2195" customFormat="1">
      <c r="B1666" s="2196"/>
      <c r="D1666" s="2197" t="s">
        <v>3303</v>
      </c>
      <c r="E1666" s="2198" t="s">
        <v>3146</v>
      </c>
      <c r="F1666" s="2199" t="s">
        <v>5670</v>
      </c>
      <c r="H1666" s="2198" t="s">
        <v>3146</v>
      </c>
      <c r="L1666" s="2196"/>
      <c r="M1666" s="2200"/>
      <c r="T1666" s="2201"/>
      <c r="AT1666" s="2198" t="s">
        <v>3303</v>
      </c>
      <c r="AU1666" s="2198" t="s">
        <v>134</v>
      </c>
      <c r="AV1666" s="2195" t="s">
        <v>133</v>
      </c>
      <c r="AW1666" s="2195" t="s">
        <v>3171</v>
      </c>
      <c r="AX1666" s="2195" t="s">
        <v>3213</v>
      </c>
      <c r="AY1666" s="2198" t="s">
        <v>3285</v>
      </c>
    </row>
    <row r="1667" spans="2:51" s="2195" customFormat="1">
      <c r="B1667" s="2196"/>
      <c r="D1667" s="2197" t="s">
        <v>3303</v>
      </c>
      <c r="E1667" s="2198" t="s">
        <v>3146</v>
      </c>
      <c r="F1667" s="2199" t="s">
        <v>11417</v>
      </c>
      <c r="H1667" s="2198" t="s">
        <v>3146</v>
      </c>
      <c r="L1667" s="2196"/>
      <c r="M1667" s="2200"/>
      <c r="T1667" s="2201"/>
      <c r="AT1667" s="2198" t="s">
        <v>3303</v>
      </c>
      <c r="AU1667" s="2198" t="s">
        <v>134</v>
      </c>
      <c r="AV1667" s="2195" t="s">
        <v>133</v>
      </c>
      <c r="AW1667" s="2195" t="s">
        <v>3171</v>
      </c>
      <c r="AX1667" s="2195" t="s">
        <v>3213</v>
      </c>
      <c r="AY1667" s="2198" t="s">
        <v>3285</v>
      </c>
    </row>
    <row r="1668" spans="2:51" s="2195" customFormat="1">
      <c r="B1668" s="2196"/>
      <c r="D1668" s="2197" t="s">
        <v>3303</v>
      </c>
      <c r="E1668" s="2198" t="s">
        <v>3146</v>
      </c>
      <c r="F1668" s="2199" t="s">
        <v>11418</v>
      </c>
      <c r="H1668" s="2198" t="s">
        <v>3146</v>
      </c>
      <c r="L1668" s="2196"/>
      <c r="M1668" s="2200"/>
      <c r="T1668" s="2201"/>
      <c r="AT1668" s="2198" t="s">
        <v>3303</v>
      </c>
      <c r="AU1668" s="2198" t="s">
        <v>134</v>
      </c>
      <c r="AV1668" s="2195" t="s">
        <v>133</v>
      </c>
      <c r="AW1668" s="2195" t="s">
        <v>3171</v>
      </c>
      <c r="AX1668" s="2195" t="s">
        <v>3213</v>
      </c>
      <c r="AY1668" s="2198" t="s">
        <v>3285</v>
      </c>
    </row>
    <row r="1669" spans="2:51" s="2209" customFormat="1">
      <c r="B1669" s="2210"/>
      <c r="D1669" s="2197" t="s">
        <v>3303</v>
      </c>
      <c r="E1669" s="2211" t="s">
        <v>3146</v>
      </c>
      <c r="F1669" s="2212" t="s">
        <v>11504</v>
      </c>
      <c r="H1669" s="2213">
        <v>7.2</v>
      </c>
      <c r="L1669" s="2210"/>
      <c r="M1669" s="2214"/>
      <c r="T1669" s="2215"/>
      <c r="AT1669" s="2211" t="s">
        <v>3303</v>
      </c>
      <c r="AU1669" s="2211" t="s">
        <v>134</v>
      </c>
      <c r="AV1669" s="2209" t="s">
        <v>134</v>
      </c>
      <c r="AW1669" s="2209" t="s">
        <v>3171</v>
      </c>
      <c r="AX1669" s="2209" t="s">
        <v>3213</v>
      </c>
      <c r="AY1669" s="2211" t="s">
        <v>3285</v>
      </c>
    </row>
    <row r="1670" spans="2:51" s="2195" customFormat="1">
      <c r="B1670" s="2196"/>
      <c r="D1670" s="2197" t="s">
        <v>3303</v>
      </c>
      <c r="E1670" s="2198" t="s">
        <v>3146</v>
      </c>
      <c r="F1670" s="2199" t="s">
        <v>11420</v>
      </c>
      <c r="H1670" s="2198" t="s">
        <v>3146</v>
      </c>
      <c r="L1670" s="2196"/>
      <c r="M1670" s="2200"/>
      <c r="T1670" s="2201"/>
      <c r="AT1670" s="2198" t="s">
        <v>3303</v>
      </c>
      <c r="AU1670" s="2198" t="s">
        <v>134</v>
      </c>
      <c r="AV1670" s="2195" t="s">
        <v>133</v>
      </c>
      <c r="AW1670" s="2195" t="s">
        <v>3171</v>
      </c>
      <c r="AX1670" s="2195" t="s">
        <v>3213</v>
      </c>
      <c r="AY1670" s="2198" t="s">
        <v>3285</v>
      </c>
    </row>
    <row r="1671" spans="2:51" s="2209" customFormat="1">
      <c r="B1671" s="2210"/>
      <c r="D1671" s="2197" t="s">
        <v>3303</v>
      </c>
      <c r="E1671" s="2211" t="s">
        <v>3146</v>
      </c>
      <c r="F1671" s="2212" t="s">
        <v>11505</v>
      </c>
      <c r="H1671" s="2213">
        <v>2.87</v>
      </c>
      <c r="L1671" s="2210"/>
      <c r="M1671" s="2214"/>
      <c r="T1671" s="2215"/>
      <c r="AT1671" s="2211" t="s">
        <v>3303</v>
      </c>
      <c r="AU1671" s="2211" t="s">
        <v>134</v>
      </c>
      <c r="AV1671" s="2209" t="s">
        <v>134</v>
      </c>
      <c r="AW1671" s="2209" t="s">
        <v>3171</v>
      </c>
      <c r="AX1671" s="2209" t="s">
        <v>3213</v>
      </c>
      <c r="AY1671" s="2211" t="s">
        <v>3285</v>
      </c>
    </row>
    <row r="1672" spans="2:51" s="2195" customFormat="1">
      <c r="B1672" s="2196"/>
      <c r="D1672" s="2197" t="s">
        <v>3303</v>
      </c>
      <c r="E1672" s="2198" t="s">
        <v>3146</v>
      </c>
      <c r="F1672" s="2199" t="s">
        <v>11422</v>
      </c>
      <c r="H1672" s="2198" t="s">
        <v>3146</v>
      </c>
      <c r="L1672" s="2196"/>
      <c r="M1672" s="2200"/>
      <c r="T1672" s="2201"/>
      <c r="AT1672" s="2198" t="s">
        <v>3303</v>
      </c>
      <c r="AU1672" s="2198" t="s">
        <v>134</v>
      </c>
      <c r="AV1672" s="2195" t="s">
        <v>133</v>
      </c>
      <c r="AW1672" s="2195" t="s">
        <v>3171</v>
      </c>
      <c r="AX1672" s="2195" t="s">
        <v>3213</v>
      </c>
      <c r="AY1672" s="2198" t="s">
        <v>3285</v>
      </c>
    </row>
    <row r="1673" spans="2:51" s="2209" customFormat="1">
      <c r="B1673" s="2210"/>
      <c r="D1673" s="2197" t="s">
        <v>3303</v>
      </c>
      <c r="E1673" s="2211" t="s">
        <v>3146</v>
      </c>
      <c r="F1673" s="2212" t="s">
        <v>11506</v>
      </c>
      <c r="H1673" s="2213">
        <v>6.36</v>
      </c>
      <c r="L1673" s="2210"/>
      <c r="M1673" s="2214"/>
      <c r="T1673" s="2215"/>
      <c r="AT1673" s="2211" t="s">
        <v>3303</v>
      </c>
      <c r="AU1673" s="2211" t="s">
        <v>134</v>
      </c>
      <c r="AV1673" s="2209" t="s">
        <v>134</v>
      </c>
      <c r="AW1673" s="2209" t="s">
        <v>3171</v>
      </c>
      <c r="AX1673" s="2209" t="s">
        <v>3213</v>
      </c>
      <c r="AY1673" s="2211" t="s">
        <v>3285</v>
      </c>
    </row>
    <row r="1674" spans="2:51" s="2195" customFormat="1">
      <c r="B1674" s="2196"/>
      <c r="D1674" s="2197" t="s">
        <v>3303</v>
      </c>
      <c r="E1674" s="2198" t="s">
        <v>3146</v>
      </c>
      <c r="F1674" s="2199" t="s">
        <v>11424</v>
      </c>
      <c r="H1674" s="2198" t="s">
        <v>3146</v>
      </c>
      <c r="L1674" s="2196"/>
      <c r="M1674" s="2200"/>
      <c r="T1674" s="2201"/>
      <c r="AT1674" s="2198" t="s">
        <v>3303</v>
      </c>
      <c r="AU1674" s="2198" t="s">
        <v>134</v>
      </c>
      <c r="AV1674" s="2195" t="s">
        <v>133</v>
      </c>
      <c r="AW1674" s="2195" t="s">
        <v>3171</v>
      </c>
      <c r="AX1674" s="2195" t="s">
        <v>3213</v>
      </c>
      <c r="AY1674" s="2198" t="s">
        <v>3285</v>
      </c>
    </row>
    <row r="1675" spans="2:51" s="2209" customFormat="1">
      <c r="B1675" s="2210"/>
      <c r="D1675" s="2197" t="s">
        <v>3303</v>
      </c>
      <c r="E1675" s="2211" t="s">
        <v>3146</v>
      </c>
      <c r="F1675" s="2212" t="s">
        <v>11507</v>
      </c>
      <c r="H1675" s="2213">
        <v>3.6</v>
      </c>
      <c r="L1675" s="2210"/>
      <c r="M1675" s="2214"/>
      <c r="T1675" s="2215"/>
      <c r="AT1675" s="2211" t="s">
        <v>3303</v>
      </c>
      <c r="AU1675" s="2211" t="s">
        <v>134</v>
      </c>
      <c r="AV1675" s="2209" t="s">
        <v>134</v>
      </c>
      <c r="AW1675" s="2209" t="s">
        <v>3171</v>
      </c>
      <c r="AX1675" s="2209" t="s">
        <v>3213</v>
      </c>
      <c r="AY1675" s="2211" t="s">
        <v>3285</v>
      </c>
    </row>
    <row r="1676" spans="2:51" s="2195" customFormat="1">
      <c r="B1676" s="2196"/>
      <c r="D1676" s="2197" t="s">
        <v>3303</v>
      </c>
      <c r="E1676" s="2198" t="s">
        <v>3146</v>
      </c>
      <c r="F1676" s="2199" t="s">
        <v>11426</v>
      </c>
      <c r="H1676" s="2198" t="s">
        <v>3146</v>
      </c>
      <c r="L1676" s="2196"/>
      <c r="M1676" s="2200"/>
      <c r="T1676" s="2201"/>
      <c r="AT1676" s="2198" t="s">
        <v>3303</v>
      </c>
      <c r="AU1676" s="2198" t="s">
        <v>134</v>
      </c>
      <c r="AV1676" s="2195" t="s">
        <v>133</v>
      </c>
      <c r="AW1676" s="2195" t="s">
        <v>3171</v>
      </c>
      <c r="AX1676" s="2195" t="s">
        <v>3213</v>
      </c>
      <c r="AY1676" s="2198" t="s">
        <v>3285</v>
      </c>
    </row>
    <row r="1677" spans="2:51" s="2209" customFormat="1">
      <c r="B1677" s="2210"/>
      <c r="D1677" s="2197" t="s">
        <v>3303</v>
      </c>
      <c r="E1677" s="2211" t="s">
        <v>3146</v>
      </c>
      <c r="F1677" s="2212" t="s">
        <v>11508</v>
      </c>
      <c r="H1677" s="2213">
        <v>0.9</v>
      </c>
      <c r="L1677" s="2210"/>
      <c r="M1677" s="2214"/>
      <c r="T1677" s="2215"/>
      <c r="AT1677" s="2211" t="s">
        <v>3303</v>
      </c>
      <c r="AU1677" s="2211" t="s">
        <v>134</v>
      </c>
      <c r="AV1677" s="2209" t="s">
        <v>134</v>
      </c>
      <c r="AW1677" s="2209" t="s">
        <v>3171</v>
      </c>
      <c r="AX1677" s="2209" t="s">
        <v>3213</v>
      </c>
      <c r="AY1677" s="2211" t="s">
        <v>3285</v>
      </c>
    </row>
    <row r="1678" spans="2:51" s="2202" customFormat="1">
      <c r="B1678" s="2203"/>
      <c r="D1678" s="2197" t="s">
        <v>3303</v>
      </c>
      <c r="E1678" s="2204" t="s">
        <v>3146</v>
      </c>
      <c r="F1678" s="2205" t="s">
        <v>3305</v>
      </c>
      <c r="H1678" s="2206">
        <v>20.93</v>
      </c>
      <c r="L1678" s="2203"/>
      <c r="M1678" s="2207"/>
      <c r="T1678" s="2208"/>
      <c r="AT1678" s="2204" t="s">
        <v>3303</v>
      </c>
      <c r="AU1678" s="2204" t="s">
        <v>134</v>
      </c>
      <c r="AV1678" s="2202" t="s">
        <v>854</v>
      </c>
      <c r="AW1678" s="2202" t="s">
        <v>3171</v>
      </c>
      <c r="AX1678" s="2202" t="s">
        <v>3213</v>
      </c>
      <c r="AY1678" s="2204" t="s">
        <v>3285</v>
      </c>
    </row>
    <row r="1679" spans="2:51" s="2195" customFormat="1">
      <c r="B1679" s="2196"/>
      <c r="D1679" s="2197" t="s">
        <v>3303</v>
      </c>
      <c r="E1679" s="2198" t="s">
        <v>3146</v>
      </c>
      <c r="F1679" s="2199" t="s">
        <v>11428</v>
      </c>
      <c r="H1679" s="2198" t="s">
        <v>3146</v>
      </c>
      <c r="L1679" s="2196"/>
      <c r="M1679" s="2200"/>
      <c r="T1679" s="2201"/>
      <c r="AT1679" s="2198" t="s">
        <v>3303</v>
      </c>
      <c r="AU1679" s="2198" t="s">
        <v>134</v>
      </c>
      <c r="AV1679" s="2195" t="s">
        <v>133</v>
      </c>
      <c r="AW1679" s="2195" t="s">
        <v>3171</v>
      </c>
      <c r="AX1679" s="2195" t="s">
        <v>3213</v>
      </c>
      <c r="AY1679" s="2198" t="s">
        <v>3285</v>
      </c>
    </row>
    <row r="1680" spans="2:51" s="2195" customFormat="1">
      <c r="B1680" s="2196"/>
      <c r="D1680" s="2197" t="s">
        <v>3303</v>
      </c>
      <c r="E1680" s="2198" t="s">
        <v>3146</v>
      </c>
      <c r="F1680" s="2199" t="s">
        <v>11429</v>
      </c>
      <c r="H1680" s="2198" t="s">
        <v>3146</v>
      </c>
      <c r="L1680" s="2196"/>
      <c r="M1680" s="2200"/>
      <c r="T1680" s="2201"/>
      <c r="AT1680" s="2198" t="s">
        <v>3303</v>
      </c>
      <c r="AU1680" s="2198" t="s">
        <v>134</v>
      </c>
      <c r="AV1680" s="2195" t="s">
        <v>133</v>
      </c>
      <c r="AW1680" s="2195" t="s">
        <v>3171</v>
      </c>
      <c r="AX1680" s="2195" t="s">
        <v>3213</v>
      </c>
      <c r="AY1680" s="2198" t="s">
        <v>3285</v>
      </c>
    </row>
    <row r="1681" spans="2:65" s="2209" customFormat="1">
      <c r="B1681" s="2210"/>
      <c r="D1681" s="2197" t="s">
        <v>3303</v>
      </c>
      <c r="E1681" s="2211" t="s">
        <v>3146</v>
      </c>
      <c r="F1681" s="2212" t="s">
        <v>11509</v>
      </c>
      <c r="H1681" s="2213">
        <v>0.76800000000000002</v>
      </c>
      <c r="L1681" s="2210"/>
      <c r="M1681" s="2214"/>
      <c r="T1681" s="2215"/>
      <c r="AT1681" s="2211" t="s">
        <v>3303</v>
      </c>
      <c r="AU1681" s="2211" t="s">
        <v>134</v>
      </c>
      <c r="AV1681" s="2209" t="s">
        <v>134</v>
      </c>
      <c r="AW1681" s="2209" t="s">
        <v>3171</v>
      </c>
      <c r="AX1681" s="2209" t="s">
        <v>3213</v>
      </c>
      <c r="AY1681" s="2211" t="s">
        <v>3285</v>
      </c>
    </row>
    <row r="1682" spans="2:65" s="2202" customFormat="1">
      <c r="B1682" s="2203"/>
      <c r="D1682" s="2197" t="s">
        <v>3303</v>
      </c>
      <c r="E1682" s="2204" t="s">
        <v>3146</v>
      </c>
      <c r="F1682" s="2205" t="s">
        <v>3305</v>
      </c>
      <c r="H1682" s="2206">
        <v>0.76800000000000002</v>
      </c>
      <c r="L1682" s="2203"/>
      <c r="M1682" s="2207"/>
      <c r="T1682" s="2208"/>
      <c r="AT1682" s="2204" t="s">
        <v>3303</v>
      </c>
      <c r="AU1682" s="2204" t="s">
        <v>134</v>
      </c>
      <c r="AV1682" s="2202" t="s">
        <v>854</v>
      </c>
      <c r="AW1682" s="2202" t="s">
        <v>3171</v>
      </c>
      <c r="AX1682" s="2202" t="s">
        <v>3213</v>
      </c>
      <c r="AY1682" s="2204" t="s">
        <v>3285</v>
      </c>
    </row>
    <row r="1683" spans="2:65" s="2216" customFormat="1">
      <c r="B1683" s="2217"/>
      <c r="D1683" s="2197" t="s">
        <v>3303</v>
      </c>
      <c r="E1683" s="2218" t="s">
        <v>3146</v>
      </c>
      <c r="F1683" s="2219" t="s">
        <v>3306</v>
      </c>
      <c r="H1683" s="2220">
        <v>21.698</v>
      </c>
      <c r="L1683" s="2217"/>
      <c r="M1683" s="2221"/>
      <c r="T1683" s="2222"/>
      <c r="AT1683" s="2218" t="s">
        <v>3303</v>
      </c>
      <c r="AU1683" s="2218" t="s">
        <v>134</v>
      </c>
      <c r="AV1683" s="2216" t="s">
        <v>856</v>
      </c>
      <c r="AW1683" s="2216" t="s">
        <v>3171</v>
      </c>
      <c r="AX1683" s="2216" t="s">
        <v>133</v>
      </c>
      <c r="AY1683" s="2218" t="s">
        <v>3285</v>
      </c>
    </row>
    <row r="1684" spans="2:65" s="2070" customFormat="1" ht="24.2" customHeight="1">
      <c r="B1684" s="2164"/>
      <c r="C1684" s="4608" t="s">
        <v>11514</v>
      </c>
      <c r="D1684" s="4608" t="s">
        <v>3286</v>
      </c>
      <c r="E1684" s="4609" t="s">
        <v>11515</v>
      </c>
      <c r="F1684" s="4610" t="s">
        <v>11516</v>
      </c>
      <c r="G1684" s="4611" t="s">
        <v>611</v>
      </c>
      <c r="H1684" s="4612">
        <v>21.698</v>
      </c>
      <c r="I1684" s="4613"/>
      <c r="J1684" s="4613">
        <f>ROUND(I1684*H1684,2)</f>
        <v>0</v>
      </c>
      <c r="K1684" s="4610" t="s">
        <v>142</v>
      </c>
      <c r="L1684" s="2071"/>
      <c r="M1684" s="2190" t="s">
        <v>3146</v>
      </c>
      <c r="N1684" s="2163" t="s">
        <v>3181</v>
      </c>
      <c r="O1684" s="2191">
        <v>0.17199999999999999</v>
      </c>
      <c r="P1684" s="2191">
        <f>O1684*H1684</f>
        <v>3.7320559999999996</v>
      </c>
      <c r="Q1684" s="2191">
        <v>1.3999999999999999E-4</v>
      </c>
      <c r="R1684" s="2191">
        <f>Q1684*H1684</f>
        <v>3.0377199999999998E-3</v>
      </c>
      <c r="S1684" s="2191">
        <v>0</v>
      </c>
      <c r="T1684" s="2192">
        <f>S1684*H1684</f>
        <v>0</v>
      </c>
      <c r="AR1684" s="2193" t="s">
        <v>2894</v>
      </c>
      <c r="AT1684" s="2193" t="s">
        <v>3286</v>
      </c>
      <c r="AU1684" s="2193" t="s">
        <v>134</v>
      </c>
      <c r="AY1684" s="2056" t="s">
        <v>3285</v>
      </c>
      <c r="BE1684" s="2194">
        <f>IF(N1684="základní",J1684,0)</f>
        <v>0</v>
      </c>
      <c r="BF1684" s="2194">
        <f>IF(N1684="snížená",J1684,0)</f>
        <v>0</v>
      </c>
      <c r="BG1684" s="2194">
        <f>IF(N1684="zákl. přenesená",J1684,0)</f>
        <v>0</v>
      </c>
      <c r="BH1684" s="2194">
        <f>IF(N1684="sníž. přenesená",J1684,0)</f>
        <v>0</v>
      </c>
      <c r="BI1684" s="2194">
        <f>IF(N1684="nulová",J1684,0)</f>
        <v>0</v>
      </c>
      <c r="BJ1684" s="2056" t="s">
        <v>134</v>
      </c>
      <c r="BK1684" s="2194">
        <f>ROUND(I1684*H1684,2)</f>
        <v>0</v>
      </c>
      <c r="BL1684" s="2056" t="s">
        <v>2894</v>
      </c>
      <c r="BM1684" s="2193" t="s">
        <v>11517</v>
      </c>
    </row>
    <row r="1685" spans="2:65" s="2195" customFormat="1">
      <c r="B1685" s="2196"/>
      <c r="D1685" s="2197" t="s">
        <v>3303</v>
      </c>
      <c r="E1685" s="2198" t="s">
        <v>3146</v>
      </c>
      <c r="F1685" s="2199" t="s">
        <v>5669</v>
      </c>
      <c r="H1685" s="2198" t="s">
        <v>3146</v>
      </c>
      <c r="L1685" s="2196"/>
      <c r="M1685" s="2200"/>
      <c r="T1685" s="2201"/>
      <c r="AT1685" s="2198" t="s">
        <v>3303</v>
      </c>
      <c r="AU1685" s="2198" t="s">
        <v>134</v>
      </c>
      <c r="AV1685" s="2195" t="s">
        <v>133</v>
      </c>
      <c r="AW1685" s="2195" t="s">
        <v>3171</v>
      </c>
      <c r="AX1685" s="2195" t="s">
        <v>3213</v>
      </c>
      <c r="AY1685" s="2198" t="s">
        <v>3285</v>
      </c>
    </row>
    <row r="1686" spans="2:65" s="2195" customFormat="1">
      <c r="B1686" s="2196"/>
      <c r="D1686" s="2197" t="s">
        <v>3303</v>
      </c>
      <c r="E1686" s="2198" t="s">
        <v>3146</v>
      </c>
      <c r="F1686" s="2199" t="s">
        <v>5670</v>
      </c>
      <c r="H1686" s="2198" t="s">
        <v>3146</v>
      </c>
      <c r="L1686" s="2196"/>
      <c r="M1686" s="2200"/>
      <c r="T1686" s="2201"/>
      <c r="AT1686" s="2198" t="s">
        <v>3303</v>
      </c>
      <c r="AU1686" s="2198" t="s">
        <v>134</v>
      </c>
      <c r="AV1686" s="2195" t="s">
        <v>133</v>
      </c>
      <c r="AW1686" s="2195" t="s">
        <v>3171</v>
      </c>
      <c r="AX1686" s="2195" t="s">
        <v>3213</v>
      </c>
      <c r="AY1686" s="2198" t="s">
        <v>3285</v>
      </c>
    </row>
    <row r="1687" spans="2:65" s="2195" customFormat="1">
      <c r="B1687" s="2196"/>
      <c r="D1687" s="2197" t="s">
        <v>3303</v>
      </c>
      <c r="E1687" s="2198" t="s">
        <v>3146</v>
      </c>
      <c r="F1687" s="2199" t="s">
        <v>11417</v>
      </c>
      <c r="H1687" s="2198" t="s">
        <v>3146</v>
      </c>
      <c r="L1687" s="2196"/>
      <c r="M1687" s="2200"/>
      <c r="T1687" s="2201"/>
      <c r="AT1687" s="2198" t="s">
        <v>3303</v>
      </c>
      <c r="AU1687" s="2198" t="s">
        <v>134</v>
      </c>
      <c r="AV1687" s="2195" t="s">
        <v>133</v>
      </c>
      <c r="AW1687" s="2195" t="s">
        <v>3171</v>
      </c>
      <c r="AX1687" s="2195" t="s">
        <v>3213</v>
      </c>
      <c r="AY1687" s="2198" t="s">
        <v>3285</v>
      </c>
    </row>
    <row r="1688" spans="2:65" s="2195" customFormat="1">
      <c r="B1688" s="2196"/>
      <c r="D1688" s="2197" t="s">
        <v>3303</v>
      </c>
      <c r="E1688" s="2198" t="s">
        <v>3146</v>
      </c>
      <c r="F1688" s="2199" t="s">
        <v>11418</v>
      </c>
      <c r="H1688" s="2198" t="s">
        <v>3146</v>
      </c>
      <c r="L1688" s="2196"/>
      <c r="M1688" s="2200"/>
      <c r="T1688" s="2201"/>
      <c r="AT1688" s="2198" t="s">
        <v>3303</v>
      </c>
      <c r="AU1688" s="2198" t="s">
        <v>134</v>
      </c>
      <c r="AV1688" s="2195" t="s">
        <v>133</v>
      </c>
      <c r="AW1688" s="2195" t="s">
        <v>3171</v>
      </c>
      <c r="AX1688" s="2195" t="s">
        <v>3213</v>
      </c>
      <c r="AY1688" s="2198" t="s">
        <v>3285</v>
      </c>
    </row>
    <row r="1689" spans="2:65" s="2209" customFormat="1">
      <c r="B1689" s="2210"/>
      <c r="D1689" s="2197" t="s">
        <v>3303</v>
      </c>
      <c r="E1689" s="2211" t="s">
        <v>3146</v>
      </c>
      <c r="F1689" s="2212" t="s">
        <v>11504</v>
      </c>
      <c r="H1689" s="2213">
        <v>7.2</v>
      </c>
      <c r="L1689" s="2210"/>
      <c r="M1689" s="2214"/>
      <c r="T1689" s="2215"/>
      <c r="AT1689" s="2211" t="s">
        <v>3303</v>
      </c>
      <c r="AU1689" s="2211" t="s">
        <v>134</v>
      </c>
      <c r="AV1689" s="2209" t="s">
        <v>134</v>
      </c>
      <c r="AW1689" s="2209" t="s">
        <v>3171</v>
      </c>
      <c r="AX1689" s="2209" t="s">
        <v>3213</v>
      </c>
      <c r="AY1689" s="2211" t="s">
        <v>3285</v>
      </c>
    </row>
    <row r="1690" spans="2:65" s="2195" customFormat="1">
      <c r="B1690" s="2196"/>
      <c r="D1690" s="2197" t="s">
        <v>3303</v>
      </c>
      <c r="E1690" s="2198" t="s">
        <v>3146</v>
      </c>
      <c r="F1690" s="2199" t="s">
        <v>11420</v>
      </c>
      <c r="H1690" s="2198" t="s">
        <v>3146</v>
      </c>
      <c r="L1690" s="2196"/>
      <c r="M1690" s="2200"/>
      <c r="T1690" s="2201"/>
      <c r="AT1690" s="2198" t="s">
        <v>3303</v>
      </c>
      <c r="AU1690" s="2198" t="s">
        <v>134</v>
      </c>
      <c r="AV1690" s="2195" t="s">
        <v>133</v>
      </c>
      <c r="AW1690" s="2195" t="s">
        <v>3171</v>
      </c>
      <c r="AX1690" s="2195" t="s">
        <v>3213</v>
      </c>
      <c r="AY1690" s="2198" t="s">
        <v>3285</v>
      </c>
    </row>
    <row r="1691" spans="2:65" s="2209" customFormat="1">
      <c r="B1691" s="2210"/>
      <c r="D1691" s="2197" t="s">
        <v>3303</v>
      </c>
      <c r="E1691" s="2211" t="s">
        <v>3146</v>
      </c>
      <c r="F1691" s="2212" t="s">
        <v>11505</v>
      </c>
      <c r="H1691" s="2213">
        <v>2.87</v>
      </c>
      <c r="L1691" s="2210"/>
      <c r="M1691" s="2214"/>
      <c r="T1691" s="2215"/>
      <c r="AT1691" s="2211" t="s">
        <v>3303</v>
      </c>
      <c r="AU1691" s="2211" t="s">
        <v>134</v>
      </c>
      <c r="AV1691" s="2209" t="s">
        <v>134</v>
      </c>
      <c r="AW1691" s="2209" t="s">
        <v>3171</v>
      </c>
      <c r="AX1691" s="2209" t="s">
        <v>3213</v>
      </c>
      <c r="AY1691" s="2211" t="s">
        <v>3285</v>
      </c>
    </row>
    <row r="1692" spans="2:65" s="2195" customFormat="1">
      <c r="B1692" s="2196"/>
      <c r="D1692" s="2197" t="s">
        <v>3303</v>
      </c>
      <c r="E1692" s="2198" t="s">
        <v>3146</v>
      </c>
      <c r="F1692" s="2199" t="s">
        <v>11422</v>
      </c>
      <c r="H1692" s="2198" t="s">
        <v>3146</v>
      </c>
      <c r="L1692" s="2196"/>
      <c r="M1692" s="2200"/>
      <c r="T1692" s="2201"/>
      <c r="AT1692" s="2198" t="s">
        <v>3303</v>
      </c>
      <c r="AU1692" s="2198" t="s">
        <v>134</v>
      </c>
      <c r="AV1692" s="2195" t="s">
        <v>133</v>
      </c>
      <c r="AW1692" s="2195" t="s">
        <v>3171</v>
      </c>
      <c r="AX1692" s="2195" t="s">
        <v>3213</v>
      </c>
      <c r="AY1692" s="2198" t="s">
        <v>3285</v>
      </c>
    </row>
    <row r="1693" spans="2:65" s="2209" customFormat="1">
      <c r="B1693" s="2210"/>
      <c r="D1693" s="2197" t="s">
        <v>3303</v>
      </c>
      <c r="E1693" s="2211" t="s">
        <v>3146</v>
      </c>
      <c r="F1693" s="2212" t="s">
        <v>11506</v>
      </c>
      <c r="H1693" s="2213">
        <v>6.36</v>
      </c>
      <c r="L1693" s="2210"/>
      <c r="M1693" s="2214"/>
      <c r="T1693" s="2215"/>
      <c r="AT1693" s="2211" t="s">
        <v>3303</v>
      </c>
      <c r="AU1693" s="2211" t="s">
        <v>134</v>
      </c>
      <c r="AV1693" s="2209" t="s">
        <v>134</v>
      </c>
      <c r="AW1693" s="2209" t="s">
        <v>3171</v>
      </c>
      <c r="AX1693" s="2209" t="s">
        <v>3213</v>
      </c>
      <c r="AY1693" s="2211" t="s">
        <v>3285</v>
      </c>
    </row>
    <row r="1694" spans="2:65" s="2195" customFormat="1">
      <c r="B1694" s="2196"/>
      <c r="D1694" s="2197" t="s">
        <v>3303</v>
      </c>
      <c r="E1694" s="2198" t="s">
        <v>3146</v>
      </c>
      <c r="F1694" s="2199" t="s">
        <v>11424</v>
      </c>
      <c r="H1694" s="2198" t="s">
        <v>3146</v>
      </c>
      <c r="L1694" s="2196"/>
      <c r="M1694" s="2200"/>
      <c r="T1694" s="2201"/>
      <c r="AT1694" s="2198" t="s">
        <v>3303</v>
      </c>
      <c r="AU1694" s="2198" t="s">
        <v>134</v>
      </c>
      <c r="AV1694" s="2195" t="s">
        <v>133</v>
      </c>
      <c r="AW1694" s="2195" t="s">
        <v>3171</v>
      </c>
      <c r="AX1694" s="2195" t="s">
        <v>3213</v>
      </c>
      <c r="AY1694" s="2198" t="s">
        <v>3285</v>
      </c>
    </row>
    <row r="1695" spans="2:65" s="2209" customFormat="1">
      <c r="B1695" s="2210"/>
      <c r="D1695" s="2197" t="s">
        <v>3303</v>
      </c>
      <c r="E1695" s="2211" t="s">
        <v>3146</v>
      </c>
      <c r="F1695" s="2212" t="s">
        <v>11507</v>
      </c>
      <c r="H1695" s="2213">
        <v>3.6</v>
      </c>
      <c r="L1695" s="2210"/>
      <c r="M1695" s="2214"/>
      <c r="T1695" s="2215"/>
      <c r="AT1695" s="2211" t="s">
        <v>3303</v>
      </c>
      <c r="AU1695" s="2211" t="s">
        <v>134</v>
      </c>
      <c r="AV1695" s="2209" t="s">
        <v>134</v>
      </c>
      <c r="AW1695" s="2209" t="s">
        <v>3171</v>
      </c>
      <c r="AX1695" s="2209" t="s">
        <v>3213</v>
      </c>
      <c r="AY1695" s="2211" t="s">
        <v>3285</v>
      </c>
    </row>
    <row r="1696" spans="2:65" s="2195" customFormat="1">
      <c r="B1696" s="2196"/>
      <c r="D1696" s="2197" t="s">
        <v>3303</v>
      </c>
      <c r="E1696" s="2198" t="s">
        <v>3146</v>
      </c>
      <c r="F1696" s="2199" t="s">
        <v>11426</v>
      </c>
      <c r="H1696" s="2198" t="s">
        <v>3146</v>
      </c>
      <c r="L1696" s="2196"/>
      <c r="M1696" s="2200"/>
      <c r="T1696" s="2201"/>
      <c r="AT1696" s="2198" t="s">
        <v>3303</v>
      </c>
      <c r="AU1696" s="2198" t="s">
        <v>134</v>
      </c>
      <c r="AV1696" s="2195" t="s">
        <v>133</v>
      </c>
      <c r="AW1696" s="2195" t="s">
        <v>3171</v>
      </c>
      <c r="AX1696" s="2195" t="s">
        <v>3213</v>
      </c>
      <c r="AY1696" s="2198" t="s">
        <v>3285</v>
      </c>
    </row>
    <row r="1697" spans="2:65" s="2209" customFormat="1">
      <c r="B1697" s="2210"/>
      <c r="D1697" s="2197" t="s">
        <v>3303</v>
      </c>
      <c r="E1697" s="2211" t="s">
        <v>3146</v>
      </c>
      <c r="F1697" s="2212" t="s">
        <v>11508</v>
      </c>
      <c r="H1697" s="2213">
        <v>0.9</v>
      </c>
      <c r="L1697" s="2210"/>
      <c r="M1697" s="2214"/>
      <c r="T1697" s="2215"/>
      <c r="AT1697" s="2211" t="s">
        <v>3303</v>
      </c>
      <c r="AU1697" s="2211" t="s">
        <v>134</v>
      </c>
      <c r="AV1697" s="2209" t="s">
        <v>134</v>
      </c>
      <c r="AW1697" s="2209" t="s">
        <v>3171</v>
      </c>
      <c r="AX1697" s="2209" t="s">
        <v>3213</v>
      </c>
      <c r="AY1697" s="2211" t="s">
        <v>3285</v>
      </c>
    </row>
    <row r="1698" spans="2:65" s="2202" customFormat="1">
      <c r="B1698" s="2203"/>
      <c r="D1698" s="2197" t="s">
        <v>3303</v>
      </c>
      <c r="E1698" s="2204" t="s">
        <v>3146</v>
      </c>
      <c r="F1698" s="2205" t="s">
        <v>3305</v>
      </c>
      <c r="H1698" s="2206">
        <v>20.93</v>
      </c>
      <c r="L1698" s="2203"/>
      <c r="M1698" s="2207"/>
      <c r="T1698" s="2208"/>
      <c r="AT1698" s="2204" t="s">
        <v>3303</v>
      </c>
      <c r="AU1698" s="2204" t="s">
        <v>134</v>
      </c>
      <c r="AV1698" s="2202" t="s">
        <v>854</v>
      </c>
      <c r="AW1698" s="2202" t="s">
        <v>3171</v>
      </c>
      <c r="AX1698" s="2202" t="s">
        <v>3213</v>
      </c>
      <c r="AY1698" s="2204" t="s">
        <v>3285</v>
      </c>
    </row>
    <row r="1699" spans="2:65" s="2195" customFormat="1">
      <c r="B1699" s="2196"/>
      <c r="D1699" s="2197" t="s">
        <v>3303</v>
      </c>
      <c r="E1699" s="2198" t="s">
        <v>3146</v>
      </c>
      <c r="F1699" s="2199" t="s">
        <v>11428</v>
      </c>
      <c r="H1699" s="2198" t="s">
        <v>3146</v>
      </c>
      <c r="L1699" s="2196"/>
      <c r="M1699" s="2200"/>
      <c r="T1699" s="2201"/>
      <c r="AT1699" s="2198" t="s">
        <v>3303</v>
      </c>
      <c r="AU1699" s="2198" t="s">
        <v>134</v>
      </c>
      <c r="AV1699" s="2195" t="s">
        <v>133</v>
      </c>
      <c r="AW1699" s="2195" t="s">
        <v>3171</v>
      </c>
      <c r="AX1699" s="2195" t="s">
        <v>3213</v>
      </c>
      <c r="AY1699" s="2198" t="s">
        <v>3285</v>
      </c>
    </row>
    <row r="1700" spans="2:65" s="2195" customFormat="1">
      <c r="B1700" s="2196"/>
      <c r="D1700" s="2197" t="s">
        <v>3303</v>
      </c>
      <c r="E1700" s="2198" t="s">
        <v>3146</v>
      </c>
      <c r="F1700" s="2199" t="s">
        <v>11429</v>
      </c>
      <c r="H1700" s="2198" t="s">
        <v>3146</v>
      </c>
      <c r="L1700" s="2196"/>
      <c r="M1700" s="2200"/>
      <c r="T1700" s="2201"/>
      <c r="AT1700" s="2198" t="s">
        <v>3303</v>
      </c>
      <c r="AU1700" s="2198" t="s">
        <v>134</v>
      </c>
      <c r="AV1700" s="2195" t="s">
        <v>133</v>
      </c>
      <c r="AW1700" s="2195" t="s">
        <v>3171</v>
      </c>
      <c r="AX1700" s="2195" t="s">
        <v>3213</v>
      </c>
      <c r="AY1700" s="2198" t="s">
        <v>3285</v>
      </c>
    </row>
    <row r="1701" spans="2:65" s="2209" customFormat="1">
      <c r="B1701" s="2210"/>
      <c r="D1701" s="2197" t="s">
        <v>3303</v>
      </c>
      <c r="E1701" s="2211" t="s">
        <v>3146</v>
      </c>
      <c r="F1701" s="2212" t="s">
        <v>11509</v>
      </c>
      <c r="H1701" s="2213">
        <v>0.76800000000000002</v>
      </c>
      <c r="L1701" s="2210"/>
      <c r="M1701" s="2214"/>
      <c r="T1701" s="2215"/>
      <c r="AT1701" s="2211" t="s">
        <v>3303</v>
      </c>
      <c r="AU1701" s="2211" t="s">
        <v>134</v>
      </c>
      <c r="AV1701" s="2209" t="s">
        <v>134</v>
      </c>
      <c r="AW1701" s="2209" t="s">
        <v>3171</v>
      </c>
      <c r="AX1701" s="2209" t="s">
        <v>3213</v>
      </c>
      <c r="AY1701" s="2211" t="s">
        <v>3285</v>
      </c>
    </row>
    <row r="1702" spans="2:65" s="2202" customFormat="1">
      <c r="B1702" s="2203"/>
      <c r="D1702" s="2197" t="s">
        <v>3303</v>
      </c>
      <c r="E1702" s="2204" t="s">
        <v>3146</v>
      </c>
      <c r="F1702" s="2205" t="s">
        <v>3305</v>
      </c>
      <c r="H1702" s="2206">
        <v>0.76800000000000002</v>
      </c>
      <c r="L1702" s="2203"/>
      <c r="M1702" s="2207"/>
      <c r="T1702" s="2208"/>
      <c r="AT1702" s="2204" t="s">
        <v>3303</v>
      </c>
      <c r="AU1702" s="2204" t="s">
        <v>134</v>
      </c>
      <c r="AV1702" s="2202" t="s">
        <v>854</v>
      </c>
      <c r="AW1702" s="2202" t="s">
        <v>3171</v>
      </c>
      <c r="AX1702" s="2202" t="s">
        <v>3213</v>
      </c>
      <c r="AY1702" s="2204" t="s">
        <v>3285</v>
      </c>
    </row>
    <row r="1703" spans="2:65" s="2216" customFormat="1">
      <c r="B1703" s="2217"/>
      <c r="D1703" s="2197" t="s">
        <v>3303</v>
      </c>
      <c r="E1703" s="2218" t="s">
        <v>3146</v>
      </c>
      <c r="F1703" s="2219" t="s">
        <v>3306</v>
      </c>
      <c r="H1703" s="2220">
        <v>21.698</v>
      </c>
      <c r="L1703" s="2217"/>
      <c r="M1703" s="2221"/>
      <c r="T1703" s="2222"/>
      <c r="AT1703" s="2218" t="s">
        <v>3303</v>
      </c>
      <c r="AU1703" s="2218" t="s">
        <v>134</v>
      </c>
      <c r="AV1703" s="2216" t="s">
        <v>856</v>
      </c>
      <c r="AW1703" s="2216" t="s">
        <v>3171</v>
      </c>
      <c r="AX1703" s="2216" t="s">
        <v>133</v>
      </c>
      <c r="AY1703" s="2218" t="s">
        <v>3285</v>
      </c>
    </row>
    <row r="1704" spans="2:65" s="2178" customFormat="1" ht="22.9" customHeight="1">
      <c r="B1704" s="2179"/>
      <c r="D1704" s="2180" t="s">
        <v>3212</v>
      </c>
      <c r="E1704" s="2188" t="s">
        <v>4194</v>
      </c>
      <c r="F1704" s="2188" t="s">
        <v>4195</v>
      </c>
      <c r="J1704" s="2189">
        <f>BK1704</f>
        <v>0</v>
      </c>
      <c r="L1704" s="2179"/>
      <c r="M1704" s="2183"/>
      <c r="P1704" s="2184">
        <f>SUM(P1705:P1869)</f>
        <v>257.911272</v>
      </c>
      <c r="R1704" s="2184">
        <f>SUM(R1705:R1869)</f>
        <v>0.5693990000000001</v>
      </c>
      <c r="T1704" s="2185">
        <f>SUM(T1705:T1869)</f>
        <v>0</v>
      </c>
      <c r="AR1704" s="2180" t="s">
        <v>134</v>
      </c>
      <c r="AT1704" s="2186" t="s">
        <v>3212</v>
      </c>
      <c r="AU1704" s="2186" t="s">
        <v>133</v>
      </c>
      <c r="AY1704" s="2180" t="s">
        <v>3285</v>
      </c>
      <c r="BK1704" s="2187">
        <f>SUM(BK1705:BK1869)</f>
        <v>0</v>
      </c>
    </row>
    <row r="1705" spans="2:65" s="2070" customFormat="1" ht="16.5" customHeight="1">
      <c r="B1705" s="2164"/>
      <c r="C1705" s="4608" t="s">
        <v>11518</v>
      </c>
      <c r="D1705" s="4608" t="s">
        <v>3286</v>
      </c>
      <c r="E1705" s="4609" t="s">
        <v>5716</v>
      </c>
      <c r="F1705" s="4610" t="s">
        <v>5717</v>
      </c>
      <c r="G1705" s="4611" t="s">
        <v>611</v>
      </c>
      <c r="H1705" s="4612">
        <v>386.1</v>
      </c>
      <c r="I1705" s="4613"/>
      <c r="J1705" s="4613">
        <f>ROUND(I1705*H1705,2)</f>
        <v>0</v>
      </c>
      <c r="K1705" s="4610" t="s">
        <v>3146</v>
      </c>
      <c r="L1705" s="2071"/>
      <c r="M1705" s="2190" t="s">
        <v>3146</v>
      </c>
      <c r="N1705" s="2163" t="s">
        <v>3181</v>
      </c>
      <c r="O1705" s="2191">
        <v>0</v>
      </c>
      <c r="P1705" s="2191">
        <f>O1705*H1705</f>
        <v>0</v>
      </c>
      <c r="Q1705" s="2191">
        <v>0</v>
      </c>
      <c r="R1705" s="2191">
        <f>Q1705*H1705</f>
        <v>0</v>
      </c>
      <c r="S1705" s="2191">
        <v>0</v>
      </c>
      <c r="T1705" s="2192">
        <f>S1705*H1705</f>
        <v>0</v>
      </c>
      <c r="AR1705" s="2193" t="s">
        <v>2894</v>
      </c>
      <c r="AT1705" s="2193" t="s">
        <v>3286</v>
      </c>
      <c r="AU1705" s="2193" t="s">
        <v>134</v>
      </c>
      <c r="AY1705" s="2056" t="s">
        <v>3285</v>
      </c>
      <c r="BE1705" s="2194">
        <f>IF(N1705="základní",J1705,0)</f>
        <v>0</v>
      </c>
      <c r="BF1705" s="2194">
        <f>IF(N1705="snížená",J1705,0)</f>
        <v>0</v>
      </c>
      <c r="BG1705" s="2194">
        <f>IF(N1705="zákl. přenesená",J1705,0)</f>
        <v>0</v>
      </c>
      <c r="BH1705" s="2194">
        <f>IF(N1705="sníž. přenesená",J1705,0)</f>
        <v>0</v>
      </c>
      <c r="BI1705" s="2194">
        <f>IF(N1705="nulová",J1705,0)</f>
        <v>0</v>
      </c>
      <c r="BJ1705" s="2056" t="s">
        <v>134</v>
      </c>
      <c r="BK1705" s="2194">
        <f>ROUND(I1705*H1705,2)</f>
        <v>0</v>
      </c>
      <c r="BL1705" s="2056" t="s">
        <v>2894</v>
      </c>
      <c r="BM1705" s="2193" t="s">
        <v>5718</v>
      </c>
    </row>
    <row r="1706" spans="2:65" s="2195" customFormat="1">
      <c r="B1706" s="2196"/>
      <c r="D1706" s="2197" t="s">
        <v>3303</v>
      </c>
      <c r="E1706" s="2198" t="s">
        <v>3146</v>
      </c>
      <c r="F1706" s="2199" t="s">
        <v>5411</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5719</v>
      </c>
      <c r="H1707" s="2213">
        <v>99</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5720</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5721</v>
      </c>
      <c r="H1709" s="2213">
        <v>2.75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5413</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5722</v>
      </c>
      <c r="H1711" s="2213">
        <v>5.5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5415</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5723</v>
      </c>
      <c r="H1713" s="2213">
        <v>82.5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5404</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5721</v>
      </c>
      <c r="H1715" s="2213">
        <v>2.75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5417</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5724</v>
      </c>
      <c r="H1717" s="2213">
        <v>16.5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5419</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5722</v>
      </c>
      <c r="H1719" s="2213">
        <v>5.5</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5406</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5407</v>
      </c>
      <c r="H1721" s="2213">
        <v>5.5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5436</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5725</v>
      </c>
      <c r="H1723" s="2213">
        <v>16.5</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5421</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5722</v>
      </c>
      <c r="H1725" s="2213">
        <v>5.5</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5422</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5726</v>
      </c>
      <c r="H1727" s="2213">
        <v>88</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5424</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5722</v>
      </c>
      <c r="H1729" s="2213">
        <v>5.5</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5408</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5727</v>
      </c>
      <c r="H1731" s="2213">
        <v>6.6</v>
      </c>
      <c r="L1731" s="2210"/>
      <c r="M1731" s="2214"/>
      <c r="T1731" s="2215"/>
      <c r="AT1731" s="2211" t="s">
        <v>3303</v>
      </c>
      <c r="AU1731" s="2211" t="s">
        <v>134</v>
      </c>
      <c r="AV1731" s="2209" t="s">
        <v>134</v>
      </c>
      <c r="AW1731" s="2209" t="s">
        <v>3171</v>
      </c>
      <c r="AX1731" s="2209" t="s">
        <v>3213</v>
      </c>
      <c r="AY1731" s="2211" t="s">
        <v>3285</v>
      </c>
    </row>
    <row r="1732" spans="2:65" s="2195" customFormat="1">
      <c r="B1732" s="2196"/>
      <c r="D1732" s="2197" t="s">
        <v>3303</v>
      </c>
      <c r="E1732" s="2198" t="s">
        <v>3146</v>
      </c>
      <c r="F1732" s="2199" t="s">
        <v>5425</v>
      </c>
      <c r="H1732" s="2198" t="s">
        <v>3146</v>
      </c>
      <c r="L1732" s="2196"/>
      <c r="M1732" s="2200"/>
      <c r="T1732" s="2201"/>
      <c r="AT1732" s="2198" t="s">
        <v>3303</v>
      </c>
      <c r="AU1732" s="2198" t="s">
        <v>134</v>
      </c>
      <c r="AV1732" s="2195" t="s">
        <v>133</v>
      </c>
      <c r="AW1732" s="2195" t="s">
        <v>3171</v>
      </c>
      <c r="AX1732" s="2195" t="s">
        <v>3213</v>
      </c>
      <c r="AY1732" s="2198" t="s">
        <v>3285</v>
      </c>
    </row>
    <row r="1733" spans="2:65" s="2209" customFormat="1">
      <c r="B1733" s="2210"/>
      <c r="D1733" s="2197" t="s">
        <v>3303</v>
      </c>
      <c r="E1733" s="2211" t="s">
        <v>3146</v>
      </c>
      <c r="F1733" s="2212" t="s">
        <v>5724</v>
      </c>
      <c r="H1733" s="2213">
        <v>16.5</v>
      </c>
      <c r="L1733" s="2210"/>
      <c r="M1733" s="2214"/>
      <c r="T1733" s="2215"/>
      <c r="AT1733" s="2211" t="s">
        <v>3303</v>
      </c>
      <c r="AU1733" s="2211" t="s">
        <v>134</v>
      </c>
      <c r="AV1733" s="2209" t="s">
        <v>134</v>
      </c>
      <c r="AW1733" s="2209" t="s">
        <v>3171</v>
      </c>
      <c r="AX1733" s="2209" t="s">
        <v>3213</v>
      </c>
      <c r="AY1733" s="2211" t="s">
        <v>3285</v>
      </c>
    </row>
    <row r="1734" spans="2:65" s="2195" customFormat="1">
      <c r="B1734" s="2196"/>
      <c r="D1734" s="2197" t="s">
        <v>3303</v>
      </c>
      <c r="E1734" s="2198" t="s">
        <v>3146</v>
      </c>
      <c r="F1734" s="2199" t="s">
        <v>5410</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5407</v>
      </c>
      <c r="H1735" s="2213">
        <v>5.5</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5438</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5728</v>
      </c>
      <c r="H1737" s="2213">
        <v>16.5</v>
      </c>
      <c r="L1737" s="2210"/>
      <c r="M1737" s="2214"/>
      <c r="T1737" s="2215"/>
      <c r="AT1737" s="2211" t="s">
        <v>3303</v>
      </c>
      <c r="AU1737" s="2211" t="s">
        <v>134</v>
      </c>
      <c r="AV1737" s="2209" t="s">
        <v>134</v>
      </c>
      <c r="AW1737" s="2209" t="s">
        <v>3171</v>
      </c>
      <c r="AX1737" s="2209" t="s">
        <v>3213</v>
      </c>
      <c r="AY1737" s="2211" t="s">
        <v>3285</v>
      </c>
    </row>
    <row r="1738" spans="2:65" s="2195" customFormat="1">
      <c r="B1738" s="2196"/>
      <c r="D1738" s="2197" t="s">
        <v>3303</v>
      </c>
      <c r="E1738" s="2198" t="s">
        <v>3146</v>
      </c>
      <c r="F1738" s="2199" t="s">
        <v>5426</v>
      </c>
      <c r="H1738" s="2198" t="s">
        <v>3146</v>
      </c>
      <c r="L1738" s="2196"/>
      <c r="M1738" s="2200"/>
      <c r="T1738" s="2201"/>
      <c r="AT1738" s="2198" t="s">
        <v>3303</v>
      </c>
      <c r="AU1738" s="2198" t="s">
        <v>134</v>
      </c>
      <c r="AV1738" s="2195" t="s">
        <v>133</v>
      </c>
      <c r="AW1738" s="2195" t="s">
        <v>3171</v>
      </c>
      <c r="AX1738" s="2195" t="s">
        <v>3213</v>
      </c>
      <c r="AY1738" s="2198" t="s">
        <v>3285</v>
      </c>
    </row>
    <row r="1739" spans="2:65" s="2209" customFormat="1">
      <c r="B1739" s="2210"/>
      <c r="D1739" s="2197" t="s">
        <v>3303</v>
      </c>
      <c r="E1739" s="2211" t="s">
        <v>3146</v>
      </c>
      <c r="F1739" s="2212" t="s">
        <v>5729</v>
      </c>
      <c r="H1739" s="2213">
        <v>5.5</v>
      </c>
      <c r="L1739" s="2210"/>
      <c r="M1739" s="2214"/>
      <c r="T1739" s="2215"/>
      <c r="AT1739" s="2211" t="s">
        <v>3303</v>
      </c>
      <c r="AU1739" s="2211" t="s">
        <v>134</v>
      </c>
      <c r="AV1739" s="2209" t="s">
        <v>134</v>
      </c>
      <c r="AW1739" s="2209" t="s">
        <v>3171</v>
      </c>
      <c r="AX1739" s="2209" t="s">
        <v>3213</v>
      </c>
      <c r="AY1739" s="2211" t="s">
        <v>3285</v>
      </c>
    </row>
    <row r="1740" spans="2:65" s="2216" customFormat="1">
      <c r="B1740" s="2217"/>
      <c r="D1740" s="2197" t="s">
        <v>3303</v>
      </c>
      <c r="E1740" s="2218" t="s">
        <v>3146</v>
      </c>
      <c r="F1740" s="2219" t="s">
        <v>3306</v>
      </c>
      <c r="H1740" s="2220">
        <v>386.1</v>
      </c>
      <c r="L1740" s="2217"/>
      <c r="M1740" s="2221"/>
      <c r="T1740" s="2222"/>
      <c r="AT1740" s="2218" t="s">
        <v>3303</v>
      </c>
      <c r="AU1740" s="2218" t="s">
        <v>134</v>
      </c>
      <c r="AV1740" s="2216" t="s">
        <v>856</v>
      </c>
      <c r="AW1740" s="2216" t="s">
        <v>3171</v>
      </c>
      <c r="AX1740" s="2216" t="s">
        <v>133</v>
      </c>
      <c r="AY1740" s="2218" t="s">
        <v>3285</v>
      </c>
    </row>
    <row r="1741" spans="2:65" s="2070" customFormat="1" ht="33" customHeight="1">
      <c r="B1741" s="2164"/>
      <c r="C1741" s="4608" t="s">
        <v>11519</v>
      </c>
      <c r="D1741" s="4608" t="s">
        <v>3286</v>
      </c>
      <c r="E1741" s="4609" t="s">
        <v>5730</v>
      </c>
      <c r="F1741" s="4610" t="s">
        <v>5731</v>
      </c>
      <c r="G1741" s="4611" t="s">
        <v>155</v>
      </c>
      <c r="H1741" s="4612">
        <v>8</v>
      </c>
      <c r="I1741" s="4613"/>
      <c r="J1741" s="4613">
        <f>ROUND(I1741*H1741,2)</f>
        <v>0</v>
      </c>
      <c r="K1741" s="4610" t="s">
        <v>142</v>
      </c>
      <c r="L1741" s="2071"/>
      <c r="M1741" s="2190" t="s">
        <v>3146</v>
      </c>
      <c r="N1741" s="2163" t="s">
        <v>3181</v>
      </c>
      <c r="O1741" s="2191">
        <v>2.21</v>
      </c>
      <c r="P1741" s="2191">
        <f>O1741*H1741</f>
        <v>17.68</v>
      </c>
      <c r="Q1741" s="2191">
        <v>0</v>
      </c>
      <c r="R1741" s="2191">
        <f>Q1741*H1741</f>
        <v>0</v>
      </c>
      <c r="S1741" s="2191">
        <v>0</v>
      </c>
      <c r="T1741" s="2192">
        <f>S1741*H1741</f>
        <v>0</v>
      </c>
      <c r="AR1741" s="2193" t="s">
        <v>2894</v>
      </c>
      <c r="AT1741" s="2193" t="s">
        <v>3286</v>
      </c>
      <c r="AU1741" s="2193" t="s">
        <v>134</v>
      </c>
      <c r="AY1741" s="2056" t="s">
        <v>3285</v>
      </c>
      <c r="BE1741" s="2194">
        <f>IF(N1741="základní",J1741,0)</f>
        <v>0</v>
      </c>
      <c r="BF1741" s="2194">
        <f>IF(N1741="snížená",J1741,0)</f>
        <v>0</v>
      </c>
      <c r="BG1741" s="2194">
        <f>IF(N1741="zákl. přenesená",J1741,0)</f>
        <v>0</v>
      </c>
      <c r="BH1741" s="2194">
        <f>IF(N1741="sníž. přenesená",J1741,0)</f>
        <v>0</v>
      </c>
      <c r="BI1741" s="2194">
        <f>IF(N1741="nulová",J1741,0)</f>
        <v>0</v>
      </c>
      <c r="BJ1741" s="2056" t="s">
        <v>134</v>
      </c>
      <c r="BK1741" s="2194">
        <f>ROUND(I1741*H1741,2)</f>
        <v>0</v>
      </c>
      <c r="BL1741" s="2056" t="s">
        <v>2894</v>
      </c>
      <c r="BM1741" s="2193" t="s">
        <v>5732</v>
      </c>
    </row>
    <row r="1742" spans="2:65" s="2195" customFormat="1">
      <c r="B1742" s="2196"/>
      <c r="D1742" s="2197" t="s">
        <v>3303</v>
      </c>
      <c r="E1742" s="2198" t="s">
        <v>3146</v>
      </c>
      <c r="F1742" s="2199" t="s">
        <v>5402</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133</v>
      </c>
      <c r="H1743" s="2213">
        <v>1</v>
      </c>
      <c r="L1743" s="2210"/>
      <c r="M1743" s="2214"/>
      <c r="T1743" s="2215"/>
      <c r="AT1743" s="2211" t="s">
        <v>3303</v>
      </c>
      <c r="AU1743" s="2211" t="s">
        <v>134</v>
      </c>
      <c r="AV1743" s="2209" t="s">
        <v>134</v>
      </c>
      <c r="AW1743" s="2209" t="s">
        <v>3171</v>
      </c>
      <c r="AX1743" s="2209" t="s">
        <v>3213</v>
      </c>
      <c r="AY1743" s="2211" t="s">
        <v>3285</v>
      </c>
    </row>
    <row r="1744" spans="2:65" s="2195" customFormat="1">
      <c r="B1744" s="2196"/>
      <c r="D1744" s="2197" t="s">
        <v>3303</v>
      </c>
      <c r="E1744" s="2198" t="s">
        <v>3146</v>
      </c>
      <c r="F1744" s="2199" t="s">
        <v>5404</v>
      </c>
      <c r="H1744" s="2198" t="s">
        <v>3146</v>
      </c>
      <c r="L1744" s="2196"/>
      <c r="M1744" s="2200"/>
      <c r="T1744" s="2201"/>
      <c r="AT1744" s="2198" t="s">
        <v>3303</v>
      </c>
      <c r="AU1744" s="2198" t="s">
        <v>134</v>
      </c>
      <c r="AV1744" s="2195" t="s">
        <v>133</v>
      </c>
      <c r="AW1744" s="2195" t="s">
        <v>3171</v>
      </c>
      <c r="AX1744" s="2195" t="s">
        <v>3213</v>
      </c>
      <c r="AY1744" s="2198" t="s">
        <v>3285</v>
      </c>
    </row>
    <row r="1745" spans="2:65" s="2209" customFormat="1">
      <c r="B1745" s="2210"/>
      <c r="D1745" s="2197" t="s">
        <v>3303</v>
      </c>
      <c r="E1745" s="2211" t="s">
        <v>3146</v>
      </c>
      <c r="F1745" s="2212" t="s">
        <v>133</v>
      </c>
      <c r="H1745" s="2213">
        <v>1</v>
      </c>
      <c r="L1745" s="2210"/>
      <c r="M1745" s="2214"/>
      <c r="T1745" s="2215"/>
      <c r="AT1745" s="2211" t="s">
        <v>3303</v>
      </c>
      <c r="AU1745" s="2211" t="s">
        <v>134</v>
      </c>
      <c r="AV1745" s="2209" t="s">
        <v>134</v>
      </c>
      <c r="AW1745" s="2209" t="s">
        <v>3171</v>
      </c>
      <c r="AX1745" s="2209" t="s">
        <v>3213</v>
      </c>
      <c r="AY1745" s="2211" t="s">
        <v>3285</v>
      </c>
    </row>
    <row r="1746" spans="2:65" s="2195" customFormat="1">
      <c r="B1746" s="2196"/>
      <c r="D1746" s="2197" t="s">
        <v>3303</v>
      </c>
      <c r="E1746" s="2198" t="s">
        <v>3146</v>
      </c>
      <c r="F1746" s="2199" t="s">
        <v>5406</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134</v>
      </c>
      <c r="H1747" s="2213">
        <v>2</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5408</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134</v>
      </c>
      <c r="H1749" s="2213">
        <v>2</v>
      </c>
      <c r="L1749" s="2210"/>
      <c r="M1749" s="2214"/>
      <c r="T1749" s="2215"/>
      <c r="AT1749" s="2211" t="s">
        <v>3303</v>
      </c>
      <c r="AU1749" s="2211" t="s">
        <v>134</v>
      </c>
      <c r="AV1749" s="2209" t="s">
        <v>134</v>
      </c>
      <c r="AW1749" s="2209" t="s">
        <v>3171</v>
      </c>
      <c r="AX1749" s="2209" t="s">
        <v>3213</v>
      </c>
      <c r="AY1749" s="2211" t="s">
        <v>3285</v>
      </c>
    </row>
    <row r="1750" spans="2:65" s="2195" customFormat="1">
      <c r="B1750" s="2196"/>
      <c r="D1750" s="2197" t="s">
        <v>3303</v>
      </c>
      <c r="E1750" s="2198" t="s">
        <v>3146</v>
      </c>
      <c r="F1750" s="2199" t="s">
        <v>5410</v>
      </c>
      <c r="H1750" s="2198" t="s">
        <v>3146</v>
      </c>
      <c r="L1750" s="2196"/>
      <c r="M1750" s="2200"/>
      <c r="T1750" s="2201"/>
      <c r="AT1750" s="2198" t="s">
        <v>3303</v>
      </c>
      <c r="AU1750" s="2198" t="s">
        <v>134</v>
      </c>
      <c r="AV1750" s="2195" t="s">
        <v>133</v>
      </c>
      <c r="AW1750" s="2195" t="s">
        <v>3171</v>
      </c>
      <c r="AX1750" s="2195" t="s">
        <v>3213</v>
      </c>
      <c r="AY1750" s="2198" t="s">
        <v>3285</v>
      </c>
    </row>
    <row r="1751" spans="2:65" s="2209" customFormat="1">
      <c r="B1751" s="2210"/>
      <c r="D1751" s="2197" t="s">
        <v>3303</v>
      </c>
      <c r="E1751" s="2211" t="s">
        <v>3146</v>
      </c>
      <c r="F1751" s="2212" t="s">
        <v>134</v>
      </c>
      <c r="H1751" s="2213">
        <v>2</v>
      </c>
      <c r="L1751" s="2210"/>
      <c r="M1751" s="2214"/>
      <c r="T1751" s="2215"/>
      <c r="AT1751" s="2211" t="s">
        <v>3303</v>
      </c>
      <c r="AU1751" s="2211" t="s">
        <v>134</v>
      </c>
      <c r="AV1751" s="2209" t="s">
        <v>134</v>
      </c>
      <c r="AW1751" s="2209" t="s">
        <v>3171</v>
      </c>
      <c r="AX1751" s="2209" t="s">
        <v>3213</v>
      </c>
      <c r="AY1751" s="2211" t="s">
        <v>3285</v>
      </c>
    </row>
    <row r="1752" spans="2:65" s="2216" customFormat="1">
      <c r="B1752" s="2217"/>
      <c r="D1752" s="2197" t="s">
        <v>3303</v>
      </c>
      <c r="E1752" s="2218" t="s">
        <v>3146</v>
      </c>
      <c r="F1752" s="2219" t="s">
        <v>3306</v>
      </c>
      <c r="H1752" s="2220">
        <v>8</v>
      </c>
      <c r="L1752" s="2217"/>
      <c r="M1752" s="2221"/>
      <c r="T1752" s="2222"/>
      <c r="AT1752" s="2218" t="s">
        <v>3303</v>
      </c>
      <c r="AU1752" s="2218" t="s">
        <v>134</v>
      </c>
      <c r="AV1752" s="2216" t="s">
        <v>856</v>
      </c>
      <c r="AW1752" s="2216" t="s">
        <v>3171</v>
      </c>
      <c r="AX1752" s="2216" t="s">
        <v>133</v>
      </c>
      <c r="AY1752" s="2218" t="s">
        <v>3285</v>
      </c>
    </row>
    <row r="1753" spans="2:65" s="2070" customFormat="1" ht="24.2" customHeight="1">
      <c r="B1753" s="2164"/>
      <c r="C1753" s="4614" t="s">
        <v>11520</v>
      </c>
      <c r="D1753" s="4614" t="s">
        <v>135</v>
      </c>
      <c r="E1753" s="4615" t="s">
        <v>5733</v>
      </c>
      <c r="F1753" s="4616" t="s">
        <v>5734</v>
      </c>
      <c r="G1753" s="4617" t="s">
        <v>611</v>
      </c>
      <c r="H1753" s="4618">
        <v>27.198</v>
      </c>
      <c r="I1753" s="4619"/>
      <c r="J1753" s="4619">
        <f>ROUND(I1753*H1753,2)</f>
        <v>0</v>
      </c>
      <c r="K1753" s="4616" t="s">
        <v>142</v>
      </c>
      <c r="L1753" s="2223"/>
      <c r="M1753" s="2224" t="s">
        <v>3146</v>
      </c>
      <c r="N1753" s="2225" t="s">
        <v>3181</v>
      </c>
      <c r="O1753" s="2191">
        <v>0</v>
      </c>
      <c r="P1753" s="2191">
        <f>O1753*H1753</f>
        <v>0</v>
      </c>
      <c r="Q1753" s="2191">
        <v>1E-3</v>
      </c>
      <c r="R1753" s="2191">
        <f>Q1753*H1753</f>
        <v>2.7198E-2</v>
      </c>
      <c r="S1753" s="2191">
        <v>0</v>
      </c>
      <c r="T1753" s="2192">
        <f>S1753*H1753</f>
        <v>0</v>
      </c>
      <c r="AR1753" s="2193" t="s">
        <v>4962</v>
      </c>
      <c r="AT1753" s="2193" t="s">
        <v>135</v>
      </c>
      <c r="AU1753" s="2193" t="s">
        <v>134</v>
      </c>
      <c r="AY1753" s="2056" t="s">
        <v>3285</v>
      </c>
      <c r="BE1753" s="2194">
        <f>IF(N1753="základní",J1753,0)</f>
        <v>0</v>
      </c>
      <c r="BF1753" s="2194">
        <f>IF(N1753="snížená",J1753,0)</f>
        <v>0</v>
      </c>
      <c r="BG1753" s="2194">
        <f>IF(N1753="zákl. přenesená",J1753,0)</f>
        <v>0</v>
      </c>
      <c r="BH1753" s="2194">
        <f>IF(N1753="sníž. přenesená",J1753,0)</f>
        <v>0</v>
      </c>
      <c r="BI1753" s="2194">
        <f>IF(N1753="nulová",J1753,0)</f>
        <v>0</v>
      </c>
      <c r="BJ1753" s="2056" t="s">
        <v>134</v>
      </c>
      <c r="BK1753" s="2194">
        <f>ROUND(I1753*H1753,2)</f>
        <v>0</v>
      </c>
      <c r="BL1753" s="2056" t="s">
        <v>4962</v>
      </c>
      <c r="BM1753" s="2193" t="s">
        <v>5735</v>
      </c>
    </row>
    <row r="1754" spans="2:65" s="2195" customFormat="1">
      <c r="B1754" s="2196"/>
      <c r="D1754" s="2197" t="s">
        <v>3303</v>
      </c>
      <c r="E1754" s="2198" t="s">
        <v>3146</v>
      </c>
      <c r="F1754" s="2199" t="s">
        <v>5402</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5736</v>
      </c>
      <c r="H1755" s="2213">
        <v>3.1629999999999998</v>
      </c>
      <c r="L1755" s="2210"/>
      <c r="M1755" s="2214"/>
      <c r="T1755" s="2215"/>
      <c r="AT1755" s="2211" t="s">
        <v>3303</v>
      </c>
      <c r="AU1755" s="2211" t="s">
        <v>134</v>
      </c>
      <c r="AV1755" s="2209" t="s">
        <v>134</v>
      </c>
      <c r="AW1755" s="2209" t="s">
        <v>3171</v>
      </c>
      <c r="AX1755" s="2209" t="s">
        <v>3213</v>
      </c>
      <c r="AY1755" s="2211" t="s">
        <v>3285</v>
      </c>
    </row>
    <row r="1756" spans="2:65" s="2195" customFormat="1">
      <c r="B1756" s="2196"/>
      <c r="D1756" s="2197" t="s">
        <v>3303</v>
      </c>
      <c r="E1756" s="2198" t="s">
        <v>3146</v>
      </c>
      <c r="F1756" s="2199" t="s">
        <v>5404</v>
      </c>
      <c r="H1756" s="2198" t="s">
        <v>3146</v>
      </c>
      <c r="L1756" s="2196"/>
      <c r="M1756" s="2200"/>
      <c r="T1756" s="2201"/>
      <c r="AT1756" s="2198" t="s">
        <v>3303</v>
      </c>
      <c r="AU1756" s="2198" t="s">
        <v>134</v>
      </c>
      <c r="AV1756" s="2195" t="s">
        <v>133</v>
      </c>
      <c r="AW1756" s="2195" t="s">
        <v>3171</v>
      </c>
      <c r="AX1756" s="2195" t="s">
        <v>3213</v>
      </c>
      <c r="AY1756" s="2198" t="s">
        <v>3285</v>
      </c>
    </row>
    <row r="1757" spans="2:65" s="2209" customFormat="1">
      <c r="B1757" s="2210"/>
      <c r="D1757" s="2197" t="s">
        <v>3303</v>
      </c>
      <c r="E1757" s="2211" t="s">
        <v>3146</v>
      </c>
      <c r="F1757" s="2212" t="s">
        <v>5737</v>
      </c>
      <c r="H1757" s="2213">
        <v>3.7949999999999999</v>
      </c>
      <c r="L1757" s="2210"/>
      <c r="M1757" s="2214"/>
      <c r="T1757" s="2215"/>
      <c r="AT1757" s="2211" t="s">
        <v>3303</v>
      </c>
      <c r="AU1757" s="2211" t="s">
        <v>134</v>
      </c>
      <c r="AV1757" s="2209" t="s">
        <v>134</v>
      </c>
      <c r="AW1757" s="2209" t="s">
        <v>3171</v>
      </c>
      <c r="AX1757" s="2209" t="s">
        <v>3213</v>
      </c>
      <c r="AY1757" s="2211" t="s">
        <v>3285</v>
      </c>
    </row>
    <row r="1758" spans="2:65" s="2195" customFormat="1">
      <c r="B1758" s="2196"/>
      <c r="D1758" s="2197" t="s">
        <v>3303</v>
      </c>
      <c r="E1758" s="2198" t="s">
        <v>3146</v>
      </c>
      <c r="F1758" s="2199" t="s">
        <v>5406</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5738</v>
      </c>
      <c r="H1759" s="2213">
        <v>6.3250000000000002</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5408</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5739</v>
      </c>
      <c r="H1761" s="2213">
        <v>7.59</v>
      </c>
      <c r="L1761" s="2210"/>
      <c r="M1761" s="2214"/>
      <c r="T1761" s="2215"/>
      <c r="AT1761" s="2211" t="s">
        <v>3303</v>
      </c>
      <c r="AU1761" s="2211" t="s">
        <v>134</v>
      </c>
      <c r="AV1761" s="2209" t="s">
        <v>134</v>
      </c>
      <c r="AW1761" s="2209" t="s">
        <v>3171</v>
      </c>
      <c r="AX1761" s="2209" t="s">
        <v>3213</v>
      </c>
      <c r="AY1761" s="2211" t="s">
        <v>3285</v>
      </c>
    </row>
    <row r="1762" spans="2:65" s="2195" customFormat="1">
      <c r="B1762" s="2196"/>
      <c r="D1762" s="2197" t="s">
        <v>3303</v>
      </c>
      <c r="E1762" s="2198" t="s">
        <v>3146</v>
      </c>
      <c r="F1762" s="2199" t="s">
        <v>5410</v>
      </c>
      <c r="H1762" s="2198" t="s">
        <v>3146</v>
      </c>
      <c r="L1762" s="2196"/>
      <c r="M1762" s="2200"/>
      <c r="T1762" s="2201"/>
      <c r="AT1762" s="2198" t="s">
        <v>3303</v>
      </c>
      <c r="AU1762" s="2198" t="s">
        <v>134</v>
      </c>
      <c r="AV1762" s="2195" t="s">
        <v>133</v>
      </c>
      <c r="AW1762" s="2195" t="s">
        <v>3171</v>
      </c>
      <c r="AX1762" s="2195" t="s">
        <v>3213</v>
      </c>
      <c r="AY1762" s="2198" t="s">
        <v>3285</v>
      </c>
    </row>
    <row r="1763" spans="2:65" s="2209" customFormat="1">
      <c r="B1763" s="2210"/>
      <c r="D1763" s="2197" t="s">
        <v>3303</v>
      </c>
      <c r="E1763" s="2211" t="s">
        <v>3146</v>
      </c>
      <c r="F1763" s="2212" t="s">
        <v>5738</v>
      </c>
      <c r="H1763" s="2213">
        <v>6.3250000000000002</v>
      </c>
      <c r="L1763" s="2210"/>
      <c r="M1763" s="2214"/>
      <c r="T1763" s="2215"/>
      <c r="AT1763" s="2211" t="s">
        <v>3303</v>
      </c>
      <c r="AU1763" s="2211" t="s">
        <v>134</v>
      </c>
      <c r="AV1763" s="2209" t="s">
        <v>134</v>
      </c>
      <c r="AW1763" s="2209" t="s">
        <v>3171</v>
      </c>
      <c r="AX1763" s="2209" t="s">
        <v>3213</v>
      </c>
      <c r="AY1763" s="2211" t="s">
        <v>3285</v>
      </c>
    </row>
    <row r="1764" spans="2:65" s="2216" customFormat="1">
      <c r="B1764" s="2217"/>
      <c r="D1764" s="2197" t="s">
        <v>3303</v>
      </c>
      <c r="E1764" s="2218" t="s">
        <v>3146</v>
      </c>
      <c r="F1764" s="2219" t="s">
        <v>3306</v>
      </c>
      <c r="H1764" s="2220">
        <v>27.198</v>
      </c>
      <c r="L1764" s="2217"/>
      <c r="M1764" s="2221"/>
      <c r="T1764" s="2222"/>
      <c r="AT1764" s="2218" t="s">
        <v>3303</v>
      </c>
      <c r="AU1764" s="2218" t="s">
        <v>134</v>
      </c>
      <c r="AV1764" s="2216" t="s">
        <v>856</v>
      </c>
      <c r="AW1764" s="2216" t="s">
        <v>3171</v>
      </c>
      <c r="AX1764" s="2216" t="s">
        <v>133</v>
      </c>
      <c r="AY1764" s="2218" t="s">
        <v>3285</v>
      </c>
    </row>
    <row r="1765" spans="2:65" s="2070" customFormat="1" ht="37.9" customHeight="1">
      <c r="B1765" s="2164"/>
      <c r="C1765" s="4608" t="s">
        <v>147</v>
      </c>
      <c r="D1765" s="4608" t="s">
        <v>3286</v>
      </c>
      <c r="E1765" s="4609" t="s">
        <v>5740</v>
      </c>
      <c r="F1765" s="4610" t="s">
        <v>5741</v>
      </c>
      <c r="G1765" s="4611" t="s">
        <v>155</v>
      </c>
      <c r="H1765" s="4612">
        <v>58</v>
      </c>
      <c r="I1765" s="4613"/>
      <c r="J1765" s="4613">
        <f>ROUND(I1765*H1765,2)</f>
        <v>0</v>
      </c>
      <c r="K1765" s="4610" t="s">
        <v>142</v>
      </c>
      <c r="L1765" s="2071"/>
      <c r="M1765" s="2190" t="s">
        <v>3146</v>
      </c>
      <c r="N1765" s="2163" t="s">
        <v>3181</v>
      </c>
      <c r="O1765" s="2191">
        <v>2.31</v>
      </c>
      <c r="P1765" s="2191">
        <f>O1765*H1765</f>
        <v>133.97999999999999</v>
      </c>
      <c r="Q1765" s="2191">
        <v>0</v>
      </c>
      <c r="R1765" s="2191">
        <f>Q1765*H1765</f>
        <v>0</v>
      </c>
      <c r="S1765" s="2191">
        <v>0</v>
      </c>
      <c r="T1765" s="2192">
        <f>S1765*H1765</f>
        <v>0</v>
      </c>
      <c r="AR1765" s="2193" t="s">
        <v>2894</v>
      </c>
      <c r="AT1765" s="2193" t="s">
        <v>3286</v>
      </c>
      <c r="AU1765" s="2193" t="s">
        <v>134</v>
      </c>
      <c r="AY1765" s="2056" t="s">
        <v>3285</v>
      </c>
      <c r="BE1765" s="2194">
        <f>IF(N1765="základní",J1765,0)</f>
        <v>0</v>
      </c>
      <c r="BF1765" s="2194">
        <f>IF(N1765="snížená",J1765,0)</f>
        <v>0</v>
      </c>
      <c r="BG1765" s="2194">
        <f>IF(N1765="zákl. přenesená",J1765,0)</f>
        <v>0</v>
      </c>
      <c r="BH1765" s="2194">
        <f>IF(N1765="sníž. přenesená",J1765,0)</f>
        <v>0</v>
      </c>
      <c r="BI1765" s="2194">
        <f>IF(N1765="nulová",J1765,0)</f>
        <v>0</v>
      </c>
      <c r="BJ1765" s="2056" t="s">
        <v>134</v>
      </c>
      <c r="BK1765" s="2194">
        <f>ROUND(I1765*H1765,2)</f>
        <v>0</v>
      </c>
      <c r="BL1765" s="2056" t="s">
        <v>2894</v>
      </c>
      <c r="BM1765" s="2193" t="s">
        <v>5742</v>
      </c>
    </row>
    <row r="1766" spans="2:65" s="2195" customFormat="1">
      <c r="B1766" s="2196"/>
      <c r="D1766" s="2197" t="s">
        <v>3303</v>
      </c>
      <c r="E1766" s="2198" t="s">
        <v>3146</v>
      </c>
      <c r="F1766" s="2199" t="s">
        <v>5411</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2475</v>
      </c>
      <c r="H1767" s="2213">
        <v>18</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5413</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133</v>
      </c>
      <c r="H1769" s="2213">
        <v>1</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5415</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1827</v>
      </c>
      <c r="H1771" s="2213">
        <v>15</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5417</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854</v>
      </c>
      <c r="H1773" s="2213">
        <v>3</v>
      </c>
      <c r="L1773" s="2210"/>
      <c r="M1773" s="2214"/>
      <c r="T1773" s="2215"/>
      <c r="AT1773" s="2211" t="s">
        <v>3303</v>
      </c>
      <c r="AU1773" s="2211" t="s">
        <v>134</v>
      </c>
      <c r="AV1773" s="2209" t="s">
        <v>134</v>
      </c>
      <c r="AW1773" s="2209" t="s">
        <v>3171</v>
      </c>
      <c r="AX1773" s="2209" t="s">
        <v>3213</v>
      </c>
      <c r="AY1773" s="2211" t="s">
        <v>3285</v>
      </c>
    </row>
    <row r="1774" spans="2:65" s="2195" customFormat="1">
      <c r="B1774" s="2196"/>
      <c r="D1774" s="2197" t="s">
        <v>3303</v>
      </c>
      <c r="E1774" s="2198" t="s">
        <v>3146</v>
      </c>
      <c r="F1774" s="2199" t="s">
        <v>5419</v>
      </c>
      <c r="H1774" s="2198" t="s">
        <v>3146</v>
      </c>
      <c r="L1774" s="2196"/>
      <c r="M1774" s="2200"/>
      <c r="T1774" s="2201"/>
      <c r="AT1774" s="2198" t="s">
        <v>3303</v>
      </c>
      <c r="AU1774" s="2198" t="s">
        <v>134</v>
      </c>
      <c r="AV1774" s="2195" t="s">
        <v>133</v>
      </c>
      <c r="AW1774" s="2195" t="s">
        <v>3171</v>
      </c>
      <c r="AX1774" s="2195" t="s">
        <v>3213</v>
      </c>
      <c r="AY1774" s="2198" t="s">
        <v>3285</v>
      </c>
    </row>
    <row r="1775" spans="2:65" s="2209" customFormat="1">
      <c r="B1775" s="2210"/>
      <c r="D1775" s="2197" t="s">
        <v>3303</v>
      </c>
      <c r="E1775" s="2211" t="s">
        <v>3146</v>
      </c>
      <c r="F1775" s="2212" t="s">
        <v>133</v>
      </c>
      <c r="H1775" s="2213">
        <v>1</v>
      </c>
      <c r="L1775" s="2210"/>
      <c r="M1775" s="2214"/>
      <c r="T1775" s="2215"/>
      <c r="AT1775" s="2211" t="s">
        <v>3303</v>
      </c>
      <c r="AU1775" s="2211" t="s">
        <v>134</v>
      </c>
      <c r="AV1775" s="2209" t="s">
        <v>134</v>
      </c>
      <c r="AW1775" s="2209" t="s">
        <v>3171</v>
      </c>
      <c r="AX1775" s="2209" t="s">
        <v>3213</v>
      </c>
      <c r="AY1775" s="2211" t="s">
        <v>3285</v>
      </c>
    </row>
    <row r="1776" spans="2:65" s="2195" customFormat="1">
      <c r="B1776" s="2196"/>
      <c r="D1776" s="2197" t="s">
        <v>3303</v>
      </c>
      <c r="E1776" s="2198" t="s">
        <v>3146</v>
      </c>
      <c r="F1776" s="2199" t="s">
        <v>5422</v>
      </c>
      <c r="H1776" s="2198" t="s">
        <v>3146</v>
      </c>
      <c r="L1776" s="2196"/>
      <c r="M1776" s="2200"/>
      <c r="T1776" s="2201"/>
      <c r="AT1776" s="2198" t="s">
        <v>3303</v>
      </c>
      <c r="AU1776" s="2198" t="s">
        <v>134</v>
      </c>
      <c r="AV1776" s="2195" t="s">
        <v>133</v>
      </c>
      <c r="AW1776" s="2195" t="s">
        <v>3171</v>
      </c>
      <c r="AX1776" s="2195" t="s">
        <v>3213</v>
      </c>
      <c r="AY1776" s="2198" t="s">
        <v>3285</v>
      </c>
    </row>
    <row r="1777" spans="2:65" s="2209" customFormat="1">
      <c r="B1777" s="2210"/>
      <c r="D1777" s="2197" t="s">
        <v>3303</v>
      </c>
      <c r="E1777" s="2211" t="s">
        <v>3146</v>
      </c>
      <c r="F1777" s="2212" t="s">
        <v>2894</v>
      </c>
      <c r="H1777" s="2213">
        <v>16</v>
      </c>
      <c r="L1777" s="2210"/>
      <c r="M1777" s="2214"/>
      <c r="T1777" s="2215"/>
      <c r="AT1777" s="2211" t="s">
        <v>3303</v>
      </c>
      <c r="AU1777" s="2211" t="s">
        <v>134</v>
      </c>
      <c r="AV1777" s="2209" t="s">
        <v>134</v>
      </c>
      <c r="AW1777" s="2209" t="s">
        <v>3171</v>
      </c>
      <c r="AX1777" s="2209" t="s">
        <v>3213</v>
      </c>
      <c r="AY1777" s="2211" t="s">
        <v>3285</v>
      </c>
    </row>
    <row r="1778" spans="2:65" s="2195" customFormat="1">
      <c r="B1778" s="2196"/>
      <c r="D1778" s="2197" t="s">
        <v>3303</v>
      </c>
      <c r="E1778" s="2198" t="s">
        <v>3146</v>
      </c>
      <c r="F1778" s="2199" t="s">
        <v>5424</v>
      </c>
      <c r="H1778" s="2198" t="s">
        <v>3146</v>
      </c>
      <c r="L1778" s="2196"/>
      <c r="M1778" s="2200"/>
      <c r="T1778" s="2201"/>
      <c r="AT1778" s="2198" t="s">
        <v>3303</v>
      </c>
      <c r="AU1778" s="2198" t="s">
        <v>134</v>
      </c>
      <c r="AV1778" s="2195" t="s">
        <v>133</v>
      </c>
      <c r="AW1778" s="2195" t="s">
        <v>3171</v>
      </c>
      <c r="AX1778" s="2195" t="s">
        <v>3213</v>
      </c>
      <c r="AY1778" s="2198" t="s">
        <v>3285</v>
      </c>
    </row>
    <row r="1779" spans="2:65" s="2209" customFormat="1">
      <c r="B1779" s="2210"/>
      <c r="D1779" s="2197" t="s">
        <v>3303</v>
      </c>
      <c r="E1779" s="2211" t="s">
        <v>3146</v>
      </c>
      <c r="F1779" s="2212" t="s">
        <v>133</v>
      </c>
      <c r="H1779" s="2213">
        <v>1</v>
      </c>
      <c r="L1779" s="2210"/>
      <c r="M1779" s="2214"/>
      <c r="T1779" s="2215"/>
      <c r="AT1779" s="2211" t="s">
        <v>3303</v>
      </c>
      <c r="AU1779" s="2211" t="s">
        <v>134</v>
      </c>
      <c r="AV1779" s="2209" t="s">
        <v>134</v>
      </c>
      <c r="AW1779" s="2209" t="s">
        <v>3171</v>
      </c>
      <c r="AX1779" s="2209" t="s">
        <v>3213</v>
      </c>
      <c r="AY1779" s="2211" t="s">
        <v>3285</v>
      </c>
    </row>
    <row r="1780" spans="2:65" s="2195" customFormat="1">
      <c r="B1780" s="2196"/>
      <c r="D1780" s="2197" t="s">
        <v>3303</v>
      </c>
      <c r="E1780" s="2198" t="s">
        <v>3146</v>
      </c>
      <c r="F1780" s="2199" t="s">
        <v>5425</v>
      </c>
      <c r="H1780" s="2198" t="s">
        <v>3146</v>
      </c>
      <c r="L1780" s="2196"/>
      <c r="M1780" s="2200"/>
      <c r="T1780" s="2201"/>
      <c r="AT1780" s="2198" t="s">
        <v>3303</v>
      </c>
      <c r="AU1780" s="2198" t="s">
        <v>134</v>
      </c>
      <c r="AV1780" s="2195" t="s">
        <v>133</v>
      </c>
      <c r="AW1780" s="2195" t="s">
        <v>3171</v>
      </c>
      <c r="AX1780" s="2195" t="s">
        <v>3213</v>
      </c>
      <c r="AY1780" s="2198" t="s">
        <v>3285</v>
      </c>
    </row>
    <row r="1781" spans="2:65" s="2209" customFormat="1">
      <c r="B1781" s="2210"/>
      <c r="D1781" s="2197" t="s">
        <v>3303</v>
      </c>
      <c r="E1781" s="2211" t="s">
        <v>3146</v>
      </c>
      <c r="F1781" s="2212" t="s">
        <v>854</v>
      </c>
      <c r="H1781" s="2213">
        <v>3</v>
      </c>
      <c r="L1781" s="2210"/>
      <c r="M1781" s="2214"/>
      <c r="T1781" s="2215"/>
      <c r="AT1781" s="2211" t="s">
        <v>3303</v>
      </c>
      <c r="AU1781" s="2211" t="s">
        <v>134</v>
      </c>
      <c r="AV1781" s="2209" t="s">
        <v>134</v>
      </c>
      <c r="AW1781" s="2209" t="s">
        <v>3171</v>
      </c>
      <c r="AX1781" s="2209" t="s">
        <v>3213</v>
      </c>
      <c r="AY1781" s="2211" t="s">
        <v>3285</v>
      </c>
    </row>
    <row r="1782" spans="2:65" s="2216" customFormat="1">
      <c r="B1782" s="2217"/>
      <c r="D1782" s="2197" t="s">
        <v>3303</v>
      </c>
      <c r="E1782" s="2218" t="s">
        <v>3146</v>
      </c>
      <c r="F1782" s="2219" t="s">
        <v>3306</v>
      </c>
      <c r="H1782" s="2220">
        <v>58</v>
      </c>
      <c r="L1782" s="2217"/>
      <c r="M1782" s="2221"/>
      <c r="T1782" s="2222"/>
      <c r="AT1782" s="2218" t="s">
        <v>3303</v>
      </c>
      <c r="AU1782" s="2218" t="s">
        <v>134</v>
      </c>
      <c r="AV1782" s="2216" t="s">
        <v>856</v>
      </c>
      <c r="AW1782" s="2216" t="s">
        <v>3171</v>
      </c>
      <c r="AX1782" s="2216" t="s">
        <v>133</v>
      </c>
      <c r="AY1782" s="2218" t="s">
        <v>3285</v>
      </c>
    </row>
    <row r="1783" spans="2:65" s="2070" customFormat="1" ht="24.2" customHeight="1">
      <c r="B1783" s="2164"/>
      <c r="C1783" s="4614" t="s">
        <v>11521</v>
      </c>
      <c r="D1783" s="4614" t="s">
        <v>135</v>
      </c>
      <c r="E1783" s="4615" t="s">
        <v>5743</v>
      </c>
      <c r="F1783" s="4616" t="s">
        <v>5744</v>
      </c>
      <c r="G1783" s="4617" t="s">
        <v>611</v>
      </c>
      <c r="H1783" s="4618">
        <v>377.81299999999999</v>
      </c>
      <c r="I1783" s="4619"/>
      <c r="J1783" s="4619">
        <f>ROUND(I1783*H1783,2)</f>
        <v>0</v>
      </c>
      <c r="K1783" s="4616" t="s">
        <v>142</v>
      </c>
      <c r="L1783" s="2223"/>
      <c r="M1783" s="2224" t="s">
        <v>3146</v>
      </c>
      <c r="N1783" s="2225" t="s">
        <v>3181</v>
      </c>
      <c r="O1783" s="2191">
        <v>0</v>
      </c>
      <c r="P1783" s="2191">
        <f>O1783*H1783</f>
        <v>0</v>
      </c>
      <c r="Q1783" s="2191">
        <v>1E-3</v>
      </c>
      <c r="R1783" s="2191">
        <f>Q1783*H1783</f>
        <v>0.37781300000000001</v>
      </c>
      <c r="S1783" s="2191">
        <v>0</v>
      </c>
      <c r="T1783" s="2192">
        <f>S1783*H1783</f>
        <v>0</v>
      </c>
      <c r="AR1783" s="2193" t="s">
        <v>3389</v>
      </c>
      <c r="AT1783" s="2193" t="s">
        <v>135</v>
      </c>
      <c r="AU1783" s="2193" t="s">
        <v>134</v>
      </c>
      <c r="AY1783" s="2056" t="s">
        <v>3285</v>
      </c>
      <c r="BE1783" s="2194">
        <f>IF(N1783="základní",J1783,0)</f>
        <v>0</v>
      </c>
      <c r="BF1783" s="2194">
        <f>IF(N1783="snížená",J1783,0)</f>
        <v>0</v>
      </c>
      <c r="BG1783" s="2194">
        <f>IF(N1783="zákl. přenesená",J1783,0)</f>
        <v>0</v>
      </c>
      <c r="BH1783" s="2194">
        <f>IF(N1783="sníž. přenesená",J1783,0)</f>
        <v>0</v>
      </c>
      <c r="BI1783" s="2194">
        <f>IF(N1783="nulová",J1783,0)</f>
        <v>0</v>
      </c>
      <c r="BJ1783" s="2056" t="s">
        <v>134</v>
      </c>
      <c r="BK1783" s="2194">
        <f>ROUND(I1783*H1783,2)</f>
        <v>0</v>
      </c>
      <c r="BL1783" s="2056" t="s">
        <v>2894</v>
      </c>
      <c r="BM1783" s="2193" t="s">
        <v>5745</v>
      </c>
    </row>
    <row r="1784" spans="2:65" s="2195" customFormat="1">
      <c r="B1784" s="2196"/>
      <c r="D1784" s="2197" t="s">
        <v>3303</v>
      </c>
      <c r="E1784" s="2198" t="s">
        <v>3146</v>
      </c>
      <c r="F1784" s="2199" t="s">
        <v>5411</v>
      </c>
      <c r="H1784" s="2198" t="s">
        <v>3146</v>
      </c>
      <c r="L1784" s="2196"/>
      <c r="M1784" s="2200"/>
      <c r="T1784" s="2201"/>
      <c r="AT1784" s="2198" t="s">
        <v>3303</v>
      </c>
      <c r="AU1784" s="2198" t="s">
        <v>134</v>
      </c>
      <c r="AV1784" s="2195" t="s">
        <v>133</v>
      </c>
      <c r="AW1784" s="2195" t="s">
        <v>3171</v>
      </c>
      <c r="AX1784" s="2195" t="s">
        <v>3213</v>
      </c>
      <c r="AY1784" s="2198" t="s">
        <v>3285</v>
      </c>
    </row>
    <row r="1785" spans="2:65" s="2209" customFormat="1">
      <c r="B1785" s="2210"/>
      <c r="D1785" s="2197" t="s">
        <v>3303</v>
      </c>
      <c r="E1785" s="2211" t="s">
        <v>3146</v>
      </c>
      <c r="F1785" s="2212" t="s">
        <v>5746</v>
      </c>
      <c r="H1785" s="2213">
        <v>123.75</v>
      </c>
      <c r="L1785" s="2210"/>
      <c r="M1785" s="2214"/>
      <c r="T1785" s="2215"/>
      <c r="AT1785" s="2211" t="s">
        <v>3303</v>
      </c>
      <c r="AU1785" s="2211" t="s">
        <v>134</v>
      </c>
      <c r="AV1785" s="2209" t="s">
        <v>134</v>
      </c>
      <c r="AW1785" s="2209" t="s">
        <v>3171</v>
      </c>
      <c r="AX1785" s="2209" t="s">
        <v>3213</v>
      </c>
      <c r="AY1785" s="2211" t="s">
        <v>3285</v>
      </c>
    </row>
    <row r="1786" spans="2:65" s="2195" customFormat="1">
      <c r="B1786" s="2196"/>
      <c r="D1786" s="2197" t="s">
        <v>3303</v>
      </c>
      <c r="E1786" s="2198" t="s">
        <v>3146</v>
      </c>
      <c r="F1786" s="2199" t="s">
        <v>5413</v>
      </c>
      <c r="H1786" s="2198" t="s">
        <v>3146</v>
      </c>
      <c r="L1786" s="2196"/>
      <c r="M1786" s="2200"/>
      <c r="T1786" s="2201"/>
      <c r="AT1786" s="2198" t="s">
        <v>3303</v>
      </c>
      <c r="AU1786" s="2198" t="s">
        <v>134</v>
      </c>
      <c r="AV1786" s="2195" t="s">
        <v>133</v>
      </c>
      <c r="AW1786" s="2195" t="s">
        <v>3171</v>
      </c>
      <c r="AX1786" s="2195" t="s">
        <v>3213</v>
      </c>
      <c r="AY1786" s="2198" t="s">
        <v>3285</v>
      </c>
    </row>
    <row r="1787" spans="2:65" s="2209" customFormat="1">
      <c r="B1787" s="2210"/>
      <c r="D1787" s="2197" t="s">
        <v>3303</v>
      </c>
      <c r="E1787" s="2211" t="s">
        <v>3146</v>
      </c>
      <c r="F1787" s="2212" t="s">
        <v>5747</v>
      </c>
      <c r="H1787" s="2213">
        <v>5.9379999999999997</v>
      </c>
      <c r="L1787" s="2210"/>
      <c r="M1787" s="2214"/>
      <c r="T1787" s="2215"/>
      <c r="AT1787" s="2211" t="s">
        <v>3303</v>
      </c>
      <c r="AU1787" s="2211" t="s">
        <v>134</v>
      </c>
      <c r="AV1787" s="2209" t="s">
        <v>134</v>
      </c>
      <c r="AW1787" s="2209" t="s">
        <v>3171</v>
      </c>
      <c r="AX1787" s="2209" t="s">
        <v>3213</v>
      </c>
      <c r="AY1787" s="2211" t="s">
        <v>3285</v>
      </c>
    </row>
    <row r="1788" spans="2:65" s="2195" customFormat="1">
      <c r="B1788" s="2196"/>
      <c r="D1788" s="2197" t="s">
        <v>3303</v>
      </c>
      <c r="E1788" s="2198" t="s">
        <v>3146</v>
      </c>
      <c r="F1788" s="2199" t="s">
        <v>5415</v>
      </c>
      <c r="H1788" s="2198" t="s">
        <v>3146</v>
      </c>
      <c r="L1788" s="2196"/>
      <c r="M1788" s="2200"/>
      <c r="T1788" s="2201"/>
      <c r="AT1788" s="2198" t="s">
        <v>3303</v>
      </c>
      <c r="AU1788" s="2198" t="s">
        <v>134</v>
      </c>
      <c r="AV1788" s="2195" t="s">
        <v>133</v>
      </c>
      <c r="AW1788" s="2195" t="s">
        <v>3171</v>
      </c>
      <c r="AX1788" s="2195" t="s">
        <v>3213</v>
      </c>
      <c r="AY1788" s="2198" t="s">
        <v>3285</v>
      </c>
    </row>
    <row r="1789" spans="2:65" s="2209" customFormat="1">
      <c r="B1789" s="2210"/>
      <c r="D1789" s="2197" t="s">
        <v>3303</v>
      </c>
      <c r="E1789" s="2211" t="s">
        <v>3146</v>
      </c>
      <c r="F1789" s="2212" t="s">
        <v>5748</v>
      </c>
      <c r="H1789" s="2213">
        <v>103.125</v>
      </c>
      <c r="L1789" s="2210"/>
      <c r="M1789" s="2214"/>
      <c r="T1789" s="2215"/>
      <c r="AT1789" s="2211" t="s">
        <v>3303</v>
      </c>
      <c r="AU1789" s="2211" t="s">
        <v>134</v>
      </c>
      <c r="AV1789" s="2209" t="s">
        <v>134</v>
      </c>
      <c r="AW1789" s="2209" t="s">
        <v>3171</v>
      </c>
      <c r="AX1789" s="2209" t="s">
        <v>3213</v>
      </c>
      <c r="AY1789" s="2211" t="s">
        <v>3285</v>
      </c>
    </row>
    <row r="1790" spans="2:65" s="2195" customFormat="1">
      <c r="B1790" s="2196"/>
      <c r="D1790" s="2197" t="s">
        <v>3303</v>
      </c>
      <c r="E1790" s="2198" t="s">
        <v>3146</v>
      </c>
      <c r="F1790" s="2199" t="s">
        <v>5417</v>
      </c>
      <c r="H1790" s="2198" t="s">
        <v>3146</v>
      </c>
      <c r="L1790" s="2196"/>
      <c r="M1790" s="2200"/>
      <c r="T1790" s="2201"/>
      <c r="AT1790" s="2198" t="s">
        <v>3303</v>
      </c>
      <c r="AU1790" s="2198" t="s">
        <v>134</v>
      </c>
      <c r="AV1790" s="2195" t="s">
        <v>133</v>
      </c>
      <c r="AW1790" s="2195" t="s">
        <v>3171</v>
      </c>
      <c r="AX1790" s="2195" t="s">
        <v>3213</v>
      </c>
      <c r="AY1790" s="2198" t="s">
        <v>3285</v>
      </c>
    </row>
    <row r="1791" spans="2:65" s="2209" customFormat="1">
      <c r="B1791" s="2210"/>
      <c r="D1791" s="2197" t="s">
        <v>3303</v>
      </c>
      <c r="E1791" s="2211" t="s">
        <v>3146</v>
      </c>
      <c r="F1791" s="2212" t="s">
        <v>5749</v>
      </c>
      <c r="H1791" s="2213">
        <v>20.625</v>
      </c>
      <c r="L1791" s="2210"/>
      <c r="M1791" s="2214"/>
      <c r="T1791" s="2215"/>
      <c r="AT1791" s="2211" t="s">
        <v>3303</v>
      </c>
      <c r="AU1791" s="2211" t="s">
        <v>134</v>
      </c>
      <c r="AV1791" s="2209" t="s">
        <v>134</v>
      </c>
      <c r="AW1791" s="2209" t="s">
        <v>3171</v>
      </c>
      <c r="AX1791" s="2209" t="s">
        <v>3213</v>
      </c>
      <c r="AY1791" s="2211" t="s">
        <v>3285</v>
      </c>
    </row>
    <row r="1792" spans="2:65" s="2195" customFormat="1">
      <c r="B1792" s="2196"/>
      <c r="D1792" s="2197" t="s">
        <v>3303</v>
      </c>
      <c r="E1792" s="2198" t="s">
        <v>3146</v>
      </c>
      <c r="F1792" s="2199" t="s">
        <v>5419</v>
      </c>
      <c r="H1792" s="2198" t="s">
        <v>3146</v>
      </c>
      <c r="L1792" s="2196"/>
      <c r="M1792" s="2200"/>
      <c r="T1792" s="2201"/>
      <c r="AT1792" s="2198" t="s">
        <v>3303</v>
      </c>
      <c r="AU1792" s="2198" t="s">
        <v>134</v>
      </c>
      <c r="AV1792" s="2195" t="s">
        <v>133</v>
      </c>
      <c r="AW1792" s="2195" t="s">
        <v>3171</v>
      </c>
      <c r="AX1792" s="2195" t="s">
        <v>3213</v>
      </c>
      <c r="AY1792" s="2198" t="s">
        <v>3285</v>
      </c>
    </row>
    <row r="1793" spans="2:65" s="2209" customFormat="1">
      <c r="B1793" s="2210"/>
      <c r="D1793" s="2197" t="s">
        <v>3303</v>
      </c>
      <c r="E1793" s="2211" t="s">
        <v>3146</v>
      </c>
      <c r="F1793" s="2212" t="s">
        <v>5750</v>
      </c>
      <c r="H1793" s="2213">
        <v>6.875</v>
      </c>
      <c r="L1793" s="2210"/>
      <c r="M1793" s="2214"/>
      <c r="T1793" s="2215"/>
      <c r="AT1793" s="2211" t="s">
        <v>3303</v>
      </c>
      <c r="AU1793" s="2211" t="s">
        <v>134</v>
      </c>
      <c r="AV1793" s="2209" t="s">
        <v>134</v>
      </c>
      <c r="AW1793" s="2209" t="s">
        <v>3171</v>
      </c>
      <c r="AX1793" s="2209" t="s">
        <v>3213</v>
      </c>
      <c r="AY1793" s="2211" t="s">
        <v>3285</v>
      </c>
    </row>
    <row r="1794" spans="2:65" s="2195" customFormat="1">
      <c r="B1794" s="2196"/>
      <c r="D1794" s="2197" t="s">
        <v>3303</v>
      </c>
      <c r="E1794" s="2198" t="s">
        <v>3146</v>
      </c>
      <c r="F1794" s="2199" t="s">
        <v>5422</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5751</v>
      </c>
      <c r="H1795" s="2213">
        <v>90</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5424</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5750</v>
      </c>
      <c r="H1797" s="2213">
        <v>6.875</v>
      </c>
      <c r="L1797" s="2210"/>
      <c r="M1797" s="2214"/>
      <c r="T1797" s="2215"/>
      <c r="AT1797" s="2211" t="s">
        <v>3303</v>
      </c>
      <c r="AU1797" s="2211" t="s">
        <v>134</v>
      </c>
      <c r="AV1797" s="2209" t="s">
        <v>134</v>
      </c>
      <c r="AW1797" s="2209" t="s">
        <v>3171</v>
      </c>
      <c r="AX1797" s="2209" t="s">
        <v>3213</v>
      </c>
      <c r="AY1797" s="2211" t="s">
        <v>3285</v>
      </c>
    </row>
    <row r="1798" spans="2:65" s="2195" customFormat="1">
      <c r="B1798" s="2196"/>
      <c r="D1798" s="2197" t="s">
        <v>3303</v>
      </c>
      <c r="E1798" s="2198" t="s">
        <v>3146</v>
      </c>
      <c r="F1798" s="2199" t="s">
        <v>5425</v>
      </c>
      <c r="H1798" s="2198" t="s">
        <v>3146</v>
      </c>
      <c r="L1798" s="2196"/>
      <c r="M1798" s="2200"/>
      <c r="T1798" s="2201"/>
      <c r="AT1798" s="2198" t="s">
        <v>3303</v>
      </c>
      <c r="AU1798" s="2198" t="s">
        <v>134</v>
      </c>
      <c r="AV1798" s="2195" t="s">
        <v>133</v>
      </c>
      <c r="AW1798" s="2195" t="s">
        <v>3171</v>
      </c>
      <c r="AX1798" s="2195" t="s">
        <v>3213</v>
      </c>
      <c r="AY1798" s="2198" t="s">
        <v>3285</v>
      </c>
    </row>
    <row r="1799" spans="2:65" s="2209" customFormat="1">
      <c r="B1799" s="2210"/>
      <c r="D1799" s="2197" t="s">
        <v>3303</v>
      </c>
      <c r="E1799" s="2211" t="s">
        <v>3146</v>
      </c>
      <c r="F1799" s="2212" t="s">
        <v>5749</v>
      </c>
      <c r="H1799" s="2213">
        <v>20.625</v>
      </c>
      <c r="L1799" s="2210"/>
      <c r="M1799" s="2214"/>
      <c r="T1799" s="2215"/>
      <c r="AT1799" s="2211" t="s">
        <v>3303</v>
      </c>
      <c r="AU1799" s="2211" t="s">
        <v>134</v>
      </c>
      <c r="AV1799" s="2209" t="s">
        <v>134</v>
      </c>
      <c r="AW1799" s="2209" t="s">
        <v>3171</v>
      </c>
      <c r="AX1799" s="2209" t="s">
        <v>3213</v>
      </c>
      <c r="AY1799" s="2211" t="s">
        <v>3285</v>
      </c>
    </row>
    <row r="1800" spans="2:65" s="2216" customFormat="1">
      <c r="B1800" s="2217"/>
      <c r="D1800" s="2197" t="s">
        <v>3303</v>
      </c>
      <c r="E1800" s="2218" t="s">
        <v>3146</v>
      </c>
      <c r="F1800" s="2219" t="s">
        <v>3306</v>
      </c>
      <c r="H1800" s="2220">
        <v>377.81299999999999</v>
      </c>
      <c r="L1800" s="2217"/>
      <c r="M1800" s="2221"/>
      <c r="T1800" s="2222"/>
      <c r="AT1800" s="2218" t="s">
        <v>3303</v>
      </c>
      <c r="AU1800" s="2218" t="s">
        <v>134</v>
      </c>
      <c r="AV1800" s="2216" t="s">
        <v>856</v>
      </c>
      <c r="AW1800" s="2216" t="s">
        <v>3171</v>
      </c>
      <c r="AX1800" s="2216" t="s">
        <v>133</v>
      </c>
      <c r="AY1800" s="2218" t="s">
        <v>3285</v>
      </c>
    </row>
    <row r="1801" spans="2:65" s="2070" customFormat="1" ht="33" customHeight="1">
      <c r="B1801" s="2164"/>
      <c r="C1801" s="4608" t="s">
        <v>11522</v>
      </c>
      <c r="D1801" s="4608" t="s">
        <v>3286</v>
      </c>
      <c r="E1801" s="4609" t="s">
        <v>5752</v>
      </c>
      <c r="F1801" s="4610" t="s">
        <v>5753</v>
      </c>
      <c r="G1801" s="4611" t="s">
        <v>155</v>
      </c>
      <c r="H1801" s="4612">
        <v>5</v>
      </c>
      <c r="I1801" s="4613"/>
      <c r="J1801" s="4613">
        <f>ROUND(I1801*H1801,2)</f>
        <v>0</v>
      </c>
      <c r="K1801" s="4610" t="s">
        <v>142</v>
      </c>
      <c r="L1801" s="2071"/>
      <c r="M1801" s="2190" t="s">
        <v>3146</v>
      </c>
      <c r="N1801" s="2163" t="s">
        <v>3181</v>
      </c>
      <c r="O1801" s="2191">
        <v>2.59</v>
      </c>
      <c r="P1801" s="2191">
        <f>O1801*H1801</f>
        <v>12.95</v>
      </c>
      <c r="Q1801" s="2191">
        <v>0</v>
      </c>
      <c r="R1801" s="2191">
        <f>Q1801*H1801</f>
        <v>0</v>
      </c>
      <c r="S1801" s="2191">
        <v>0</v>
      </c>
      <c r="T1801" s="2192">
        <f>S1801*H1801</f>
        <v>0</v>
      </c>
      <c r="AR1801" s="2193" t="s">
        <v>2894</v>
      </c>
      <c r="AT1801" s="2193" t="s">
        <v>3286</v>
      </c>
      <c r="AU1801" s="2193" t="s">
        <v>134</v>
      </c>
      <c r="AY1801" s="2056" t="s">
        <v>3285</v>
      </c>
      <c r="BE1801" s="2194">
        <f>IF(N1801="základní",J1801,0)</f>
        <v>0</v>
      </c>
      <c r="BF1801" s="2194">
        <f>IF(N1801="snížená",J1801,0)</f>
        <v>0</v>
      </c>
      <c r="BG1801" s="2194">
        <f>IF(N1801="zákl. přenesená",J1801,0)</f>
        <v>0</v>
      </c>
      <c r="BH1801" s="2194">
        <f>IF(N1801="sníž. přenesená",J1801,0)</f>
        <v>0</v>
      </c>
      <c r="BI1801" s="2194">
        <f>IF(N1801="nulová",J1801,0)</f>
        <v>0</v>
      </c>
      <c r="BJ1801" s="2056" t="s">
        <v>134</v>
      </c>
      <c r="BK1801" s="2194">
        <f>ROUND(I1801*H1801,2)</f>
        <v>0</v>
      </c>
      <c r="BL1801" s="2056" t="s">
        <v>2894</v>
      </c>
      <c r="BM1801" s="2193" t="s">
        <v>5754</v>
      </c>
    </row>
    <row r="1802" spans="2:65" s="2195" customFormat="1">
      <c r="B1802" s="2196"/>
      <c r="D1802" s="2197" t="s">
        <v>3303</v>
      </c>
      <c r="E1802" s="2198" t="s">
        <v>3146</v>
      </c>
      <c r="F1802" s="2199" t="s">
        <v>5434</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133</v>
      </c>
      <c r="H1803" s="2213">
        <v>1</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5436</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134</v>
      </c>
      <c r="H1805" s="2213">
        <v>2</v>
      </c>
      <c r="L1805" s="2210"/>
      <c r="M1805" s="2214"/>
      <c r="T1805" s="2215"/>
      <c r="AT1805" s="2211" t="s">
        <v>3303</v>
      </c>
      <c r="AU1805" s="2211" t="s">
        <v>134</v>
      </c>
      <c r="AV1805" s="2209" t="s">
        <v>134</v>
      </c>
      <c r="AW1805" s="2209" t="s">
        <v>3171</v>
      </c>
      <c r="AX1805" s="2209" t="s">
        <v>3213</v>
      </c>
      <c r="AY1805" s="2211" t="s">
        <v>3285</v>
      </c>
    </row>
    <row r="1806" spans="2:65" s="2195" customFormat="1">
      <c r="B1806" s="2196"/>
      <c r="D1806" s="2197" t="s">
        <v>3303</v>
      </c>
      <c r="E1806" s="2198" t="s">
        <v>3146</v>
      </c>
      <c r="F1806" s="2199" t="s">
        <v>5438</v>
      </c>
      <c r="H1806" s="2198" t="s">
        <v>3146</v>
      </c>
      <c r="L1806" s="2196"/>
      <c r="M1806" s="2200"/>
      <c r="T1806" s="2201"/>
      <c r="AT1806" s="2198" t="s">
        <v>3303</v>
      </c>
      <c r="AU1806" s="2198" t="s">
        <v>134</v>
      </c>
      <c r="AV1806" s="2195" t="s">
        <v>133</v>
      </c>
      <c r="AW1806" s="2195" t="s">
        <v>3171</v>
      </c>
      <c r="AX1806" s="2195" t="s">
        <v>3213</v>
      </c>
      <c r="AY1806" s="2198" t="s">
        <v>3285</v>
      </c>
    </row>
    <row r="1807" spans="2:65" s="2209" customFormat="1">
      <c r="B1807" s="2210"/>
      <c r="D1807" s="2197" t="s">
        <v>3303</v>
      </c>
      <c r="E1807" s="2211" t="s">
        <v>3146</v>
      </c>
      <c r="F1807" s="2212" t="s">
        <v>134</v>
      </c>
      <c r="H1807" s="2213">
        <v>2</v>
      </c>
      <c r="L1807" s="2210"/>
      <c r="M1807" s="2214"/>
      <c r="T1807" s="2215"/>
      <c r="AT1807" s="2211" t="s">
        <v>3303</v>
      </c>
      <c r="AU1807" s="2211" t="s">
        <v>134</v>
      </c>
      <c r="AV1807" s="2209" t="s">
        <v>134</v>
      </c>
      <c r="AW1807" s="2209" t="s">
        <v>3171</v>
      </c>
      <c r="AX1807" s="2209" t="s">
        <v>3213</v>
      </c>
      <c r="AY1807" s="2211" t="s">
        <v>3285</v>
      </c>
    </row>
    <row r="1808" spans="2:65" s="2216" customFormat="1">
      <c r="B1808" s="2217"/>
      <c r="D1808" s="2197" t="s">
        <v>3303</v>
      </c>
      <c r="E1808" s="2218" t="s">
        <v>3146</v>
      </c>
      <c r="F1808" s="2219" t="s">
        <v>3306</v>
      </c>
      <c r="H1808" s="2220">
        <v>5</v>
      </c>
      <c r="L1808" s="2217"/>
      <c r="M1808" s="2221"/>
      <c r="T1808" s="2222"/>
      <c r="AT1808" s="2218" t="s">
        <v>3303</v>
      </c>
      <c r="AU1808" s="2218" t="s">
        <v>134</v>
      </c>
      <c r="AV1808" s="2216" t="s">
        <v>856</v>
      </c>
      <c r="AW1808" s="2216" t="s">
        <v>3171</v>
      </c>
      <c r="AX1808" s="2216" t="s">
        <v>133</v>
      </c>
      <c r="AY1808" s="2218" t="s">
        <v>3285</v>
      </c>
    </row>
    <row r="1809" spans="2:65" s="2070" customFormat="1" ht="24.2" customHeight="1">
      <c r="B1809" s="2164"/>
      <c r="C1809" s="4614" t="s">
        <v>11523</v>
      </c>
      <c r="D1809" s="4614" t="s">
        <v>135</v>
      </c>
      <c r="E1809" s="4615" t="s">
        <v>5755</v>
      </c>
      <c r="F1809" s="4616" t="s">
        <v>5756</v>
      </c>
      <c r="G1809" s="4617" t="s">
        <v>611</v>
      </c>
      <c r="H1809" s="4618">
        <v>85.388000000000005</v>
      </c>
      <c r="I1809" s="4619"/>
      <c r="J1809" s="4619">
        <f>ROUND(I1809*H1809,2)</f>
        <v>0</v>
      </c>
      <c r="K1809" s="4616" t="s">
        <v>142</v>
      </c>
      <c r="L1809" s="2223"/>
      <c r="M1809" s="2224" t="s">
        <v>3146</v>
      </c>
      <c r="N1809" s="2225" t="s">
        <v>3181</v>
      </c>
      <c r="O1809" s="2191">
        <v>0</v>
      </c>
      <c r="P1809" s="2191">
        <f>O1809*H1809</f>
        <v>0</v>
      </c>
      <c r="Q1809" s="2191">
        <v>1E-3</v>
      </c>
      <c r="R1809" s="2191">
        <f>Q1809*H1809</f>
        <v>8.5388000000000006E-2</v>
      </c>
      <c r="S1809" s="2191">
        <v>0</v>
      </c>
      <c r="T1809" s="2192">
        <f>S1809*H1809</f>
        <v>0</v>
      </c>
      <c r="AR1809" s="2193" t="s">
        <v>3389</v>
      </c>
      <c r="AT1809" s="2193" t="s">
        <v>135</v>
      </c>
      <c r="AU1809" s="2193" t="s">
        <v>134</v>
      </c>
      <c r="AY1809" s="2056" t="s">
        <v>3285</v>
      </c>
      <c r="BE1809" s="2194">
        <f>IF(N1809="základní",J1809,0)</f>
        <v>0</v>
      </c>
      <c r="BF1809" s="2194">
        <f>IF(N1809="snížená",J1809,0)</f>
        <v>0</v>
      </c>
      <c r="BG1809" s="2194">
        <f>IF(N1809="zákl. přenesená",J1809,0)</f>
        <v>0</v>
      </c>
      <c r="BH1809" s="2194">
        <f>IF(N1809="sníž. přenesená",J1809,0)</f>
        <v>0</v>
      </c>
      <c r="BI1809" s="2194">
        <f>IF(N1809="nulová",J1809,0)</f>
        <v>0</v>
      </c>
      <c r="BJ1809" s="2056" t="s">
        <v>134</v>
      </c>
      <c r="BK1809" s="2194">
        <f>ROUND(I1809*H1809,2)</f>
        <v>0</v>
      </c>
      <c r="BL1809" s="2056" t="s">
        <v>2894</v>
      </c>
      <c r="BM1809" s="2193" t="s">
        <v>5757</v>
      </c>
    </row>
    <row r="1810" spans="2:65" s="2195" customFormat="1">
      <c r="B1810" s="2196"/>
      <c r="D1810" s="2197" t="s">
        <v>3303</v>
      </c>
      <c r="E1810" s="2198" t="s">
        <v>3146</v>
      </c>
      <c r="F1810" s="2199" t="s">
        <v>5434</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5758</v>
      </c>
      <c r="H1811" s="2213">
        <v>18.562999999999999</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5436</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5759</v>
      </c>
      <c r="H1813" s="2213">
        <v>29.7</v>
      </c>
      <c r="L1813" s="2210"/>
      <c r="M1813" s="2214"/>
      <c r="T1813" s="2215"/>
      <c r="AT1813" s="2211" t="s">
        <v>3303</v>
      </c>
      <c r="AU1813" s="2211" t="s">
        <v>134</v>
      </c>
      <c r="AV1813" s="2209" t="s">
        <v>134</v>
      </c>
      <c r="AW1813" s="2209" t="s">
        <v>3171</v>
      </c>
      <c r="AX1813" s="2209" t="s">
        <v>3213</v>
      </c>
      <c r="AY1813" s="2211" t="s">
        <v>3285</v>
      </c>
    </row>
    <row r="1814" spans="2:65" s="2195" customFormat="1">
      <c r="B1814" s="2196"/>
      <c r="D1814" s="2197" t="s">
        <v>3303</v>
      </c>
      <c r="E1814" s="2198" t="s">
        <v>3146</v>
      </c>
      <c r="F1814" s="2199" t="s">
        <v>5438</v>
      </c>
      <c r="H1814" s="2198" t="s">
        <v>3146</v>
      </c>
      <c r="L1814" s="2196"/>
      <c r="M1814" s="2200"/>
      <c r="T1814" s="2201"/>
      <c r="AT1814" s="2198" t="s">
        <v>3303</v>
      </c>
      <c r="AU1814" s="2198" t="s">
        <v>134</v>
      </c>
      <c r="AV1814" s="2195" t="s">
        <v>133</v>
      </c>
      <c r="AW1814" s="2195" t="s">
        <v>3171</v>
      </c>
      <c r="AX1814" s="2195" t="s">
        <v>3213</v>
      </c>
      <c r="AY1814" s="2198" t="s">
        <v>3285</v>
      </c>
    </row>
    <row r="1815" spans="2:65" s="2209" customFormat="1">
      <c r="B1815" s="2210"/>
      <c r="D1815" s="2197" t="s">
        <v>3303</v>
      </c>
      <c r="E1815" s="2211" t="s">
        <v>3146</v>
      </c>
      <c r="F1815" s="2212" t="s">
        <v>5760</v>
      </c>
      <c r="H1815" s="2213">
        <v>37.125</v>
      </c>
      <c r="L1815" s="2210"/>
      <c r="M1815" s="2214"/>
      <c r="T1815" s="2215"/>
      <c r="AT1815" s="2211" t="s">
        <v>3303</v>
      </c>
      <c r="AU1815" s="2211" t="s">
        <v>134</v>
      </c>
      <c r="AV1815" s="2209" t="s">
        <v>134</v>
      </c>
      <c r="AW1815" s="2209" t="s">
        <v>3171</v>
      </c>
      <c r="AX1815" s="2209" t="s">
        <v>3213</v>
      </c>
      <c r="AY1815" s="2211" t="s">
        <v>3285</v>
      </c>
    </row>
    <row r="1816" spans="2:65" s="2216" customFormat="1">
      <c r="B1816" s="2217"/>
      <c r="D1816" s="2197" t="s">
        <v>3303</v>
      </c>
      <c r="E1816" s="2218" t="s">
        <v>3146</v>
      </c>
      <c r="F1816" s="2219" t="s">
        <v>3306</v>
      </c>
      <c r="H1816" s="2220">
        <v>85.388000000000005</v>
      </c>
      <c r="L1816" s="2217"/>
      <c r="M1816" s="2221"/>
      <c r="T1816" s="2222"/>
      <c r="AT1816" s="2218" t="s">
        <v>3303</v>
      </c>
      <c r="AU1816" s="2218" t="s">
        <v>134</v>
      </c>
      <c r="AV1816" s="2216" t="s">
        <v>856</v>
      </c>
      <c r="AW1816" s="2216" t="s">
        <v>3171</v>
      </c>
      <c r="AX1816" s="2216" t="s">
        <v>133</v>
      </c>
      <c r="AY1816" s="2218" t="s">
        <v>3285</v>
      </c>
    </row>
    <row r="1817" spans="2:65" s="2070" customFormat="1" ht="16.5" customHeight="1">
      <c r="B1817" s="2164"/>
      <c r="C1817" s="4608" t="s">
        <v>11524</v>
      </c>
      <c r="D1817" s="4608" t="s">
        <v>3286</v>
      </c>
      <c r="E1817" s="4609" t="s">
        <v>5761</v>
      </c>
      <c r="F1817" s="4610" t="s">
        <v>5762</v>
      </c>
      <c r="G1817" s="4611" t="s">
        <v>155</v>
      </c>
      <c r="H1817" s="4612">
        <v>16</v>
      </c>
      <c r="I1817" s="4613"/>
      <c r="J1817" s="4613">
        <f>ROUND(I1817*H1817,2)</f>
        <v>0</v>
      </c>
      <c r="K1817" s="4610" t="s">
        <v>142</v>
      </c>
      <c r="L1817" s="2071"/>
      <c r="M1817" s="2190" t="s">
        <v>3146</v>
      </c>
      <c r="N1817" s="2163" t="s">
        <v>3181</v>
      </c>
      <c r="O1817" s="2191">
        <v>1.0900000000000001</v>
      </c>
      <c r="P1817" s="2191">
        <f>O1817*H1817</f>
        <v>17.440000000000001</v>
      </c>
      <c r="Q1817" s="2191">
        <v>0</v>
      </c>
      <c r="R1817" s="2191">
        <f>Q1817*H1817</f>
        <v>0</v>
      </c>
      <c r="S1817" s="2191">
        <v>0</v>
      </c>
      <c r="T1817" s="2192">
        <f>S1817*H1817</f>
        <v>0</v>
      </c>
      <c r="AR1817" s="2193" t="s">
        <v>2894</v>
      </c>
      <c r="AT1817" s="2193" t="s">
        <v>3286</v>
      </c>
      <c r="AU1817" s="2193" t="s">
        <v>134</v>
      </c>
      <c r="AY1817" s="2056" t="s">
        <v>3285</v>
      </c>
      <c r="BE1817" s="2194">
        <f>IF(N1817="základní",J1817,0)</f>
        <v>0</v>
      </c>
      <c r="BF1817" s="2194">
        <f>IF(N1817="snížená",J1817,0)</f>
        <v>0</v>
      </c>
      <c r="BG1817" s="2194">
        <f>IF(N1817="zákl. přenesená",J1817,0)</f>
        <v>0</v>
      </c>
      <c r="BH1817" s="2194">
        <f>IF(N1817="sníž. přenesená",J1817,0)</f>
        <v>0</v>
      </c>
      <c r="BI1817" s="2194">
        <f>IF(N1817="nulová",J1817,0)</f>
        <v>0</v>
      </c>
      <c r="BJ1817" s="2056" t="s">
        <v>134</v>
      </c>
      <c r="BK1817" s="2194">
        <f>ROUND(I1817*H1817,2)</f>
        <v>0</v>
      </c>
      <c r="BL1817" s="2056" t="s">
        <v>2894</v>
      </c>
      <c r="BM1817" s="2193" t="s">
        <v>5763</v>
      </c>
    </row>
    <row r="1818" spans="2:65" s="2195" customFormat="1">
      <c r="B1818" s="2196"/>
      <c r="D1818" s="2197" t="s">
        <v>3303</v>
      </c>
      <c r="E1818" s="2198" t="s">
        <v>3146</v>
      </c>
      <c r="F1818" s="2199" t="s">
        <v>5402</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133</v>
      </c>
      <c r="H1819" s="2213">
        <v>1</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5404</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133</v>
      </c>
      <c r="H1821" s="2213">
        <v>1</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5406</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134</v>
      </c>
      <c r="H1823" s="2213">
        <v>2</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5408</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5410</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134</v>
      </c>
      <c r="H1827" s="2213">
        <v>2</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5402</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133</v>
      </c>
      <c r="H1829" s="2213">
        <v>1</v>
      </c>
      <c r="L1829" s="2210"/>
      <c r="M1829" s="2214"/>
      <c r="T1829" s="2215"/>
      <c r="AT1829" s="2211" t="s">
        <v>3303</v>
      </c>
      <c r="AU1829" s="2211" t="s">
        <v>134</v>
      </c>
      <c r="AV1829" s="2209" t="s">
        <v>134</v>
      </c>
      <c r="AW1829" s="2209" t="s">
        <v>3171</v>
      </c>
      <c r="AX1829" s="2209" t="s">
        <v>3213</v>
      </c>
      <c r="AY1829" s="2211" t="s">
        <v>3285</v>
      </c>
    </row>
    <row r="1830" spans="2:65" s="2195" customFormat="1">
      <c r="B1830" s="2196"/>
      <c r="D1830" s="2197" t="s">
        <v>3303</v>
      </c>
      <c r="E1830" s="2198" t="s">
        <v>3146</v>
      </c>
      <c r="F1830" s="2199" t="s">
        <v>5404</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133</v>
      </c>
      <c r="H1831" s="2213">
        <v>1</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5406</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134</v>
      </c>
      <c r="H1833" s="2213">
        <v>2</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5408</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134</v>
      </c>
      <c r="H1835" s="2213">
        <v>2</v>
      </c>
      <c r="L1835" s="2210"/>
      <c r="M1835" s="2214"/>
      <c r="T1835" s="2215"/>
      <c r="AT1835" s="2211" t="s">
        <v>3303</v>
      </c>
      <c r="AU1835" s="2211" t="s">
        <v>134</v>
      </c>
      <c r="AV1835" s="2209" t="s">
        <v>134</v>
      </c>
      <c r="AW1835" s="2209" t="s">
        <v>3171</v>
      </c>
      <c r="AX1835" s="2209" t="s">
        <v>3213</v>
      </c>
      <c r="AY1835" s="2211" t="s">
        <v>3285</v>
      </c>
    </row>
    <row r="1836" spans="2:65" s="2195" customFormat="1">
      <c r="B1836" s="2196"/>
      <c r="D1836" s="2197" t="s">
        <v>3303</v>
      </c>
      <c r="E1836" s="2198" t="s">
        <v>3146</v>
      </c>
      <c r="F1836" s="2199" t="s">
        <v>5410</v>
      </c>
      <c r="H1836" s="2198" t="s">
        <v>3146</v>
      </c>
      <c r="L1836" s="2196"/>
      <c r="M1836" s="2200"/>
      <c r="T1836" s="2201"/>
      <c r="AT1836" s="2198" t="s">
        <v>3303</v>
      </c>
      <c r="AU1836" s="2198" t="s">
        <v>134</v>
      </c>
      <c r="AV1836" s="2195" t="s">
        <v>133</v>
      </c>
      <c r="AW1836" s="2195" t="s">
        <v>3171</v>
      </c>
      <c r="AX1836" s="2195" t="s">
        <v>3213</v>
      </c>
      <c r="AY1836" s="2198" t="s">
        <v>3285</v>
      </c>
    </row>
    <row r="1837" spans="2:65" s="2209" customFormat="1">
      <c r="B1837" s="2210"/>
      <c r="D1837" s="2197" t="s">
        <v>3303</v>
      </c>
      <c r="E1837" s="2211" t="s">
        <v>3146</v>
      </c>
      <c r="F1837" s="2212" t="s">
        <v>134</v>
      </c>
      <c r="H1837" s="2213">
        <v>2</v>
      </c>
      <c r="L1837" s="2210"/>
      <c r="M1837" s="2214"/>
      <c r="T1837" s="2215"/>
      <c r="AT1837" s="2211" t="s">
        <v>3303</v>
      </c>
      <c r="AU1837" s="2211" t="s">
        <v>134</v>
      </c>
      <c r="AV1837" s="2209" t="s">
        <v>134</v>
      </c>
      <c r="AW1837" s="2209" t="s">
        <v>3171</v>
      </c>
      <c r="AX1837" s="2209" t="s">
        <v>3213</v>
      </c>
      <c r="AY1837" s="2211" t="s">
        <v>3285</v>
      </c>
    </row>
    <row r="1838" spans="2:65" s="2216" customFormat="1">
      <c r="B1838" s="2217"/>
      <c r="D1838" s="2197" t="s">
        <v>3303</v>
      </c>
      <c r="E1838" s="2218" t="s">
        <v>3146</v>
      </c>
      <c r="F1838" s="2219" t="s">
        <v>3306</v>
      </c>
      <c r="H1838" s="2220">
        <v>16</v>
      </c>
      <c r="L1838" s="2217"/>
      <c r="M1838" s="2221"/>
      <c r="T1838" s="2222"/>
      <c r="AT1838" s="2218" t="s">
        <v>3303</v>
      </c>
      <c r="AU1838" s="2218" t="s">
        <v>134</v>
      </c>
      <c r="AV1838" s="2216" t="s">
        <v>856</v>
      </c>
      <c r="AW1838" s="2216" t="s">
        <v>3171</v>
      </c>
      <c r="AX1838" s="2216" t="s">
        <v>133</v>
      </c>
      <c r="AY1838" s="2218" t="s">
        <v>3285</v>
      </c>
    </row>
    <row r="1839" spans="2:65" s="2070" customFormat="1" ht="33" customHeight="1">
      <c r="B1839" s="2164"/>
      <c r="C1839" s="4614" t="s">
        <v>11525</v>
      </c>
      <c r="D1839" s="4614" t="s">
        <v>135</v>
      </c>
      <c r="E1839" s="4615" t="s">
        <v>5764</v>
      </c>
      <c r="F1839" s="4616" t="s">
        <v>5765</v>
      </c>
      <c r="G1839" s="4617" t="s">
        <v>155</v>
      </c>
      <c r="H1839" s="4618">
        <v>16</v>
      </c>
      <c r="I1839" s="4619"/>
      <c r="J1839" s="4619">
        <f>ROUND(I1839*H1839,2)</f>
        <v>0</v>
      </c>
      <c r="K1839" s="4616" t="s">
        <v>142</v>
      </c>
      <c r="L1839" s="2223"/>
      <c r="M1839" s="2224" t="s">
        <v>3146</v>
      </c>
      <c r="N1839" s="2225" t="s">
        <v>3181</v>
      </c>
      <c r="O1839" s="2191">
        <v>0</v>
      </c>
      <c r="P1839" s="2191">
        <f>O1839*H1839</f>
        <v>0</v>
      </c>
      <c r="Q1839" s="2191">
        <v>1E-3</v>
      </c>
      <c r="R1839" s="2191">
        <f>Q1839*H1839</f>
        <v>1.6E-2</v>
      </c>
      <c r="S1839" s="2191">
        <v>0</v>
      </c>
      <c r="T1839" s="2192">
        <f>S1839*H1839</f>
        <v>0</v>
      </c>
      <c r="AR1839" s="2193" t="s">
        <v>3389</v>
      </c>
      <c r="AT1839" s="2193" t="s">
        <v>135</v>
      </c>
      <c r="AU1839" s="2193" t="s">
        <v>134</v>
      </c>
      <c r="AY1839" s="2056" t="s">
        <v>3285</v>
      </c>
      <c r="BE1839" s="2194">
        <f>IF(N1839="základní",J1839,0)</f>
        <v>0</v>
      </c>
      <c r="BF1839" s="2194">
        <f>IF(N1839="snížená",J1839,0)</f>
        <v>0</v>
      </c>
      <c r="BG1839" s="2194">
        <f>IF(N1839="zákl. přenesená",J1839,0)</f>
        <v>0</v>
      </c>
      <c r="BH1839" s="2194">
        <f>IF(N1839="sníž. přenesená",J1839,0)</f>
        <v>0</v>
      </c>
      <c r="BI1839" s="2194">
        <f>IF(N1839="nulová",J1839,0)</f>
        <v>0</v>
      </c>
      <c r="BJ1839" s="2056" t="s">
        <v>134</v>
      </c>
      <c r="BK1839" s="2194">
        <f>ROUND(I1839*H1839,2)</f>
        <v>0</v>
      </c>
      <c r="BL1839" s="2056" t="s">
        <v>2894</v>
      </c>
      <c r="BM1839" s="2193" t="s">
        <v>5766</v>
      </c>
    </row>
    <row r="1840" spans="2:65" s="2070" customFormat="1" ht="21.75" customHeight="1">
      <c r="B1840" s="2164"/>
      <c r="C1840" s="4608" t="s">
        <v>11526</v>
      </c>
      <c r="D1840" s="4608" t="s">
        <v>3286</v>
      </c>
      <c r="E1840" s="4609" t="s">
        <v>5767</v>
      </c>
      <c r="F1840" s="4610" t="s">
        <v>5768</v>
      </c>
      <c r="G1840" s="4611" t="s">
        <v>155</v>
      </c>
      <c r="H1840" s="4612">
        <v>58</v>
      </c>
      <c r="I1840" s="4613"/>
      <c r="J1840" s="4613">
        <f>ROUND(I1840*H1840,2)</f>
        <v>0</v>
      </c>
      <c r="K1840" s="4610" t="s">
        <v>142</v>
      </c>
      <c r="L1840" s="2071"/>
      <c r="M1840" s="2190" t="s">
        <v>3146</v>
      </c>
      <c r="N1840" s="2163" t="s">
        <v>3181</v>
      </c>
      <c r="O1840" s="2191">
        <v>1.1579999999999999</v>
      </c>
      <c r="P1840" s="2191">
        <f>O1840*H1840</f>
        <v>67.164000000000001</v>
      </c>
      <c r="Q1840" s="2191">
        <v>0</v>
      </c>
      <c r="R1840" s="2191">
        <f>Q1840*H1840</f>
        <v>0</v>
      </c>
      <c r="S1840" s="2191">
        <v>0</v>
      </c>
      <c r="T1840" s="2192">
        <f>S1840*H1840</f>
        <v>0</v>
      </c>
      <c r="AR1840" s="2193" t="s">
        <v>2894</v>
      </c>
      <c r="AT1840" s="2193" t="s">
        <v>3286</v>
      </c>
      <c r="AU1840" s="2193" t="s">
        <v>134</v>
      </c>
      <c r="AY1840" s="2056" t="s">
        <v>3285</v>
      </c>
      <c r="BE1840" s="2194">
        <f>IF(N1840="základní",J1840,0)</f>
        <v>0</v>
      </c>
      <c r="BF1840" s="2194">
        <f>IF(N1840="snížená",J1840,0)</f>
        <v>0</v>
      </c>
      <c r="BG1840" s="2194">
        <f>IF(N1840="zákl. přenesená",J1840,0)</f>
        <v>0</v>
      </c>
      <c r="BH1840" s="2194">
        <f>IF(N1840="sníž. přenesená",J1840,0)</f>
        <v>0</v>
      </c>
      <c r="BI1840" s="2194">
        <f>IF(N1840="nulová",J1840,0)</f>
        <v>0</v>
      </c>
      <c r="BJ1840" s="2056" t="s">
        <v>134</v>
      </c>
      <c r="BK1840" s="2194">
        <f>ROUND(I1840*H1840,2)</f>
        <v>0</v>
      </c>
      <c r="BL1840" s="2056" t="s">
        <v>2894</v>
      </c>
      <c r="BM1840" s="2193" t="s">
        <v>5769</v>
      </c>
    </row>
    <row r="1841" spans="2:51" s="2195" customFormat="1">
      <c r="B1841" s="2196"/>
      <c r="D1841" s="2197" t="s">
        <v>3303</v>
      </c>
      <c r="E1841" s="2198" t="s">
        <v>3146</v>
      </c>
      <c r="F1841" s="2199" t="s">
        <v>5411</v>
      </c>
      <c r="H1841" s="2198" t="s">
        <v>3146</v>
      </c>
      <c r="L1841" s="2196"/>
      <c r="M1841" s="2200"/>
      <c r="T1841" s="2201"/>
      <c r="AT1841" s="2198" t="s">
        <v>3303</v>
      </c>
      <c r="AU1841" s="2198" t="s">
        <v>134</v>
      </c>
      <c r="AV1841" s="2195" t="s">
        <v>133</v>
      </c>
      <c r="AW1841" s="2195" t="s">
        <v>3171</v>
      </c>
      <c r="AX1841" s="2195" t="s">
        <v>3213</v>
      </c>
      <c r="AY1841" s="2198" t="s">
        <v>3285</v>
      </c>
    </row>
    <row r="1842" spans="2:51" s="2209" customFormat="1">
      <c r="B1842" s="2210"/>
      <c r="D1842" s="2197" t="s">
        <v>3303</v>
      </c>
      <c r="E1842" s="2211" t="s">
        <v>3146</v>
      </c>
      <c r="F1842" s="2212" t="s">
        <v>2475</v>
      </c>
      <c r="H1842" s="2213">
        <v>18</v>
      </c>
      <c r="L1842" s="2210"/>
      <c r="M1842" s="2214"/>
      <c r="T1842" s="2215"/>
      <c r="AT1842" s="2211" t="s">
        <v>3303</v>
      </c>
      <c r="AU1842" s="2211" t="s">
        <v>134</v>
      </c>
      <c r="AV1842" s="2209" t="s">
        <v>134</v>
      </c>
      <c r="AW1842" s="2209" t="s">
        <v>3171</v>
      </c>
      <c r="AX1842" s="2209" t="s">
        <v>3213</v>
      </c>
      <c r="AY1842" s="2211" t="s">
        <v>3285</v>
      </c>
    </row>
    <row r="1843" spans="2:51" s="2195" customFormat="1">
      <c r="B1843" s="2196"/>
      <c r="D1843" s="2197" t="s">
        <v>3303</v>
      </c>
      <c r="E1843" s="2198" t="s">
        <v>3146</v>
      </c>
      <c r="F1843" s="2199" t="s">
        <v>5413</v>
      </c>
      <c r="H1843" s="2198" t="s">
        <v>3146</v>
      </c>
      <c r="L1843" s="2196"/>
      <c r="M1843" s="2200"/>
      <c r="T1843" s="2201"/>
      <c r="AT1843" s="2198" t="s">
        <v>3303</v>
      </c>
      <c r="AU1843" s="2198" t="s">
        <v>134</v>
      </c>
      <c r="AV1843" s="2195" t="s">
        <v>133</v>
      </c>
      <c r="AW1843" s="2195" t="s">
        <v>3171</v>
      </c>
      <c r="AX1843" s="2195" t="s">
        <v>3213</v>
      </c>
      <c r="AY1843" s="2198" t="s">
        <v>3285</v>
      </c>
    </row>
    <row r="1844" spans="2:51" s="2209" customFormat="1">
      <c r="B1844" s="2210"/>
      <c r="D1844" s="2197" t="s">
        <v>3303</v>
      </c>
      <c r="E1844" s="2211" t="s">
        <v>3146</v>
      </c>
      <c r="F1844" s="2212" t="s">
        <v>133</v>
      </c>
      <c r="H1844" s="2213">
        <v>1</v>
      </c>
      <c r="L1844" s="2210"/>
      <c r="M1844" s="2214"/>
      <c r="T1844" s="2215"/>
      <c r="AT1844" s="2211" t="s">
        <v>3303</v>
      </c>
      <c r="AU1844" s="2211" t="s">
        <v>134</v>
      </c>
      <c r="AV1844" s="2209" t="s">
        <v>134</v>
      </c>
      <c r="AW1844" s="2209" t="s">
        <v>3171</v>
      </c>
      <c r="AX1844" s="2209" t="s">
        <v>3213</v>
      </c>
      <c r="AY1844" s="2211" t="s">
        <v>3285</v>
      </c>
    </row>
    <row r="1845" spans="2:51" s="2195" customFormat="1">
      <c r="B1845" s="2196"/>
      <c r="D1845" s="2197" t="s">
        <v>3303</v>
      </c>
      <c r="E1845" s="2198" t="s">
        <v>3146</v>
      </c>
      <c r="F1845" s="2199" t="s">
        <v>5415</v>
      </c>
      <c r="H1845" s="2198" t="s">
        <v>3146</v>
      </c>
      <c r="L1845" s="2196"/>
      <c r="M1845" s="2200"/>
      <c r="T1845" s="2201"/>
      <c r="AT1845" s="2198" t="s">
        <v>3303</v>
      </c>
      <c r="AU1845" s="2198" t="s">
        <v>134</v>
      </c>
      <c r="AV1845" s="2195" t="s">
        <v>133</v>
      </c>
      <c r="AW1845" s="2195" t="s">
        <v>3171</v>
      </c>
      <c r="AX1845" s="2195" t="s">
        <v>3213</v>
      </c>
      <c r="AY1845" s="2198" t="s">
        <v>3285</v>
      </c>
    </row>
    <row r="1846" spans="2:51" s="2209" customFormat="1">
      <c r="B1846" s="2210"/>
      <c r="D1846" s="2197" t="s">
        <v>3303</v>
      </c>
      <c r="E1846" s="2211" t="s">
        <v>3146</v>
      </c>
      <c r="F1846" s="2212" t="s">
        <v>1827</v>
      </c>
      <c r="H1846" s="2213">
        <v>15</v>
      </c>
      <c r="L1846" s="2210"/>
      <c r="M1846" s="2214"/>
      <c r="T1846" s="2215"/>
      <c r="AT1846" s="2211" t="s">
        <v>3303</v>
      </c>
      <c r="AU1846" s="2211" t="s">
        <v>134</v>
      </c>
      <c r="AV1846" s="2209" t="s">
        <v>134</v>
      </c>
      <c r="AW1846" s="2209" t="s">
        <v>3171</v>
      </c>
      <c r="AX1846" s="2209" t="s">
        <v>3213</v>
      </c>
      <c r="AY1846" s="2211" t="s">
        <v>3285</v>
      </c>
    </row>
    <row r="1847" spans="2:51" s="2195" customFormat="1">
      <c r="B1847" s="2196"/>
      <c r="D1847" s="2197" t="s">
        <v>3303</v>
      </c>
      <c r="E1847" s="2198" t="s">
        <v>3146</v>
      </c>
      <c r="F1847" s="2199" t="s">
        <v>5417</v>
      </c>
      <c r="H1847" s="2198" t="s">
        <v>3146</v>
      </c>
      <c r="L1847" s="2196"/>
      <c r="M1847" s="2200"/>
      <c r="T1847" s="2201"/>
      <c r="AT1847" s="2198" t="s">
        <v>3303</v>
      </c>
      <c r="AU1847" s="2198" t="s">
        <v>134</v>
      </c>
      <c r="AV1847" s="2195" t="s">
        <v>133</v>
      </c>
      <c r="AW1847" s="2195" t="s">
        <v>3171</v>
      </c>
      <c r="AX1847" s="2195" t="s">
        <v>3213</v>
      </c>
      <c r="AY1847" s="2198" t="s">
        <v>3285</v>
      </c>
    </row>
    <row r="1848" spans="2:51" s="2209" customFormat="1">
      <c r="B1848" s="2210"/>
      <c r="D1848" s="2197" t="s">
        <v>3303</v>
      </c>
      <c r="E1848" s="2211" t="s">
        <v>3146</v>
      </c>
      <c r="F1848" s="2212" t="s">
        <v>854</v>
      </c>
      <c r="H1848" s="2213">
        <v>3</v>
      </c>
      <c r="L1848" s="2210"/>
      <c r="M1848" s="2214"/>
      <c r="T1848" s="2215"/>
      <c r="AT1848" s="2211" t="s">
        <v>3303</v>
      </c>
      <c r="AU1848" s="2211" t="s">
        <v>134</v>
      </c>
      <c r="AV1848" s="2209" t="s">
        <v>134</v>
      </c>
      <c r="AW1848" s="2209" t="s">
        <v>3171</v>
      </c>
      <c r="AX1848" s="2209" t="s">
        <v>3213</v>
      </c>
      <c r="AY1848" s="2211" t="s">
        <v>3285</v>
      </c>
    </row>
    <row r="1849" spans="2:51" s="2195" customFormat="1">
      <c r="B1849" s="2196"/>
      <c r="D1849" s="2197" t="s">
        <v>3303</v>
      </c>
      <c r="E1849" s="2198" t="s">
        <v>3146</v>
      </c>
      <c r="F1849" s="2199" t="s">
        <v>5419</v>
      </c>
      <c r="H1849" s="2198" t="s">
        <v>3146</v>
      </c>
      <c r="L1849" s="2196"/>
      <c r="M1849" s="2200"/>
      <c r="T1849" s="2201"/>
      <c r="AT1849" s="2198" t="s">
        <v>3303</v>
      </c>
      <c r="AU1849" s="2198" t="s">
        <v>134</v>
      </c>
      <c r="AV1849" s="2195" t="s">
        <v>133</v>
      </c>
      <c r="AW1849" s="2195" t="s">
        <v>3171</v>
      </c>
      <c r="AX1849" s="2195" t="s">
        <v>3213</v>
      </c>
      <c r="AY1849" s="2198" t="s">
        <v>3285</v>
      </c>
    </row>
    <row r="1850" spans="2:51" s="2209" customFormat="1">
      <c r="B1850" s="2210"/>
      <c r="D1850" s="2197" t="s">
        <v>3303</v>
      </c>
      <c r="E1850" s="2211" t="s">
        <v>3146</v>
      </c>
      <c r="F1850" s="2212" t="s">
        <v>133</v>
      </c>
      <c r="H1850" s="2213">
        <v>1</v>
      </c>
      <c r="L1850" s="2210"/>
      <c r="M1850" s="2214"/>
      <c r="T1850" s="2215"/>
      <c r="AT1850" s="2211" t="s">
        <v>3303</v>
      </c>
      <c r="AU1850" s="2211" t="s">
        <v>134</v>
      </c>
      <c r="AV1850" s="2209" t="s">
        <v>134</v>
      </c>
      <c r="AW1850" s="2209" t="s">
        <v>3171</v>
      </c>
      <c r="AX1850" s="2209" t="s">
        <v>3213</v>
      </c>
      <c r="AY1850" s="2211" t="s">
        <v>3285</v>
      </c>
    </row>
    <row r="1851" spans="2:51" s="2195" customFormat="1">
      <c r="B1851" s="2196"/>
      <c r="D1851" s="2197" t="s">
        <v>3303</v>
      </c>
      <c r="E1851" s="2198" t="s">
        <v>3146</v>
      </c>
      <c r="F1851" s="2199" t="s">
        <v>5422</v>
      </c>
      <c r="H1851" s="2198" t="s">
        <v>3146</v>
      </c>
      <c r="L1851" s="2196"/>
      <c r="M1851" s="2200"/>
      <c r="T1851" s="2201"/>
      <c r="AT1851" s="2198" t="s">
        <v>3303</v>
      </c>
      <c r="AU1851" s="2198" t="s">
        <v>134</v>
      </c>
      <c r="AV1851" s="2195" t="s">
        <v>133</v>
      </c>
      <c r="AW1851" s="2195" t="s">
        <v>3171</v>
      </c>
      <c r="AX1851" s="2195" t="s">
        <v>3213</v>
      </c>
      <c r="AY1851" s="2198" t="s">
        <v>3285</v>
      </c>
    </row>
    <row r="1852" spans="2:51" s="2209" customFormat="1">
      <c r="B1852" s="2210"/>
      <c r="D1852" s="2197" t="s">
        <v>3303</v>
      </c>
      <c r="E1852" s="2211" t="s">
        <v>3146</v>
      </c>
      <c r="F1852" s="2212" t="s">
        <v>2894</v>
      </c>
      <c r="H1852" s="2213">
        <v>16</v>
      </c>
      <c r="L1852" s="2210"/>
      <c r="M1852" s="2214"/>
      <c r="T1852" s="2215"/>
      <c r="AT1852" s="2211" t="s">
        <v>3303</v>
      </c>
      <c r="AU1852" s="2211" t="s">
        <v>134</v>
      </c>
      <c r="AV1852" s="2209" t="s">
        <v>134</v>
      </c>
      <c r="AW1852" s="2209" t="s">
        <v>3171</v>
      </c>
      <c r="AX1852" s="2209" t="s">
        <v>3213</v>
      </c>
      <c r="AY1852" s="2211" t="s">
        <v>3285</v>
      </c>
    </row>
    <row r="1853" spans="2:51" s="2195" customFormat="1">
      <c r="B1853" s="2196"/>
      <c r="D1853" s="2197" t="s">
        <v>3303</v>
      </c>
      <c r="E1853" s="2198" t="s">
        <v>3146</v>
      </c>
      <c r="F1853" s="2199" t="s">
        <v>5424</v>
      </c>
      <c r="H1853" s="2198" t="s">
        <v>3146</v>
      </c>
      <c r="L1853" s="2196"/>
      <c r="M1853" s="2200"/>
      <c r="T1853" s="2201"/>
      <c r="AT1853" s="2198" t="s">
        <v>3303</v>
      </c>
      <c r="AU1853" s="2198" t="s">
        <v>134</v>
      </c>
      <c r="AV1853" s="2195" t="s">
        <v>133</v>
      </c>
      <c r="AW1853" s="2195" t="s">
        <v>3171</v>
      </c>
      <c r="AX1853" s="2195" t="s">
        <v>3213</v>
      </c>
      <c r="AY1853" s="2198" t="s">
        <v>3285</v>
      </c>
    </row>
    <row r="1854" spans="2:51" s="2209" customFormat="1">
      <c r="B1854" s="2210"/>
      <c r="D1854" s="2197" t="s">
        <v>3303</v>
      </c>
      <c r="E1854" s="2211" t="s">
        <v>3146</v>
      </c>
      <c r="F1854" s="2212" t="s">
        <v>133</v>
      </c>
      <c r="H1854" s="2213">
        <v>1</v>
      </c>
      <c r="L1854" s="2210"/>
      <c r="M1854" s="2214"/>
      <c r="T1854" s="2215"/>
      <c r="AT1854" s="2211" t="s">
        <v>3303</v>
      </c>
      <c r="AU1854" s="2211" t="s">
        <v>134</v>
      </c>
      <c r="AV1854" s="2209" t="s">
        <v>134</v>
      </c>
      <c r="AW1854" s="2209" t="s">
        <v>3171</v>
      </c>
      <c r="AX1854" s="2209" t="s">
        <v>3213</v>
      </c>
      <c r="AY1854" s="2211" t="s">
        <v>3285</v>
      </c>
    </row>
    <row r="1855" spans="2:51" s="2195" customFormat="1">
      <c r="B1855" s="2196"/>
      <c r="D1855" s="2197" t="s">
        <v>3303</v>
      </c>
      <c r="E1855" s="2198" t="s">
        <v>3146</v>
      </c>
      <c r="F1855" s="2199" t="s">
        <v>5425</v>
      </c>
      <c r="H1855" s="2198" t="s">
        <v>3146</v>
      </c>
      <c r="L1855" s="2196"/>
      <c r="M1855" s="2200"/>
      <c r="T1855" s="2201"/>
      <c r="AT1855" s="2198" t="s">
        <v>3303</v>
      </c>
      <c r="AU1855" s="2198" t="s">
        <v>134</v>
      </c>
      <c r="AV1855" s="2195" t="s">
        <v>133</v>
      </c>
      <c r="AW1855" s="2195" t="s">
        <v>3171</v>
      </c>
      <c r="AX1855" s="2195" t="s">
        <v>3213</v>
      </c>
      <c r="AY1855" s="2198" t="s">
        <v>3285</v>
      </c>
    </row>
    <row r="1856" spans="2:51" s="2209" customFormat="1">
      <c r="B1856" s="2210"/>
      <c r="D1856" s="2197" t="s">
        <v>3303</v>
      </c>
      <c r="E1856" s="2211" t="s">
        <v>3146</v>
      </c>
      <c r="F1856" s="2212" t="s">
        <v>854</v>
      </c>
      <c r="H1856" s="2213">
        <v>3</v>
      </c>
      <c r="L1856" s="2210"/>
      <c r="M1856" s="2214"/>
      <c r="T1856" s="2215"/>
      <c r="AT1856" s="2211" t="s">
        <v>3303</v>
      </c>
      <c r="AU1856" s="2211" t="s">
        <v>134</v>
      </c>
      <c r="AV1856" s="2209" t="s">
        <v>134</v>
      </c>
      <c r="AW1856" s="2209" t="s">
        <v>3171</v>
      </c>
      <c r="AX1856" s="2209" t="s">
        <v>3213</v>
      </c>
      <c r="AY1856" s="2211" t="s">
        <v>3285</v>
      </c>
    </row>
    <row r="1857" spans="2:65" s="2216" customFormat="1">
      <c r="B1857" s="2217"/>
      <c r="D1857" s="2197" t="s">
        <v>3303</v>
      </c>
      <c r="E1857" s="2218" t="s">
        <v>3146</v>
      </c>
      <c r="F1857" s="2219" t="s">
        <v>3306</v>
      </c>
      <c r="H1857" s="2220">
        <v>58</v>
      </c>
      <c r="L1857" s="2217"/>
      <c r="M1857" s="2221"/>
      <c r="T1857" s="2222"/>
      <c r="AT1857" s="2218" t="s">
        <v>3303</v>
      </c>
      <c r="AU1857" s="2218" t="s">
        <v>134</v>
      </c>
      <c r="AV1857" s="2216" t="s">
        <v>856</v>
      </c>
      <c r="AW1857" s="2216" t="s">
        <v>3171</v>
      </c>
      <c r="AX1857" s="2216" t="s">
        <v>133</v>
      </c>
      <c r="AY1857" s="2218" t="s">
        <v>3285</v>
      </c>
    </row>
    <row r="1858" spans="2:65" s="2070" customFormat="1" ht="33" customHeight="1">
      <c r="B1858" s="2164"/>
      <c r="C1858" s="4614" t="s">
        <v>11527</v>
      </c>
      <c r="D1858" s="4614" t="s">
        <v>135</v>
      </c>
      <c r="E1858" s="4615" t="s">
        <v>5770</v>
      </c>
      <c r="F1858" s="4616" t="s">
        <v>5771</v>
      </c>
      <c r="G1858" s="4617" t="s">
        <v>155</v>
      </c>
      <c r="H1858" s="4618">
        <v>58</v>
      </c>
      <c r="I1858" s="4619"/>
      <c r="J1858" s="4619">
        <f>ROUND(I1858*H1858,2)</f>
        <v>0</v>
      </c>
      <c r="K1858" s="4616" t="s">
        <v>142</v>
      </c>
      <c r="L1858" s="2223"/>
      <c r="M1858" s="2224" t="s">
        <v>3146</v>
      </c>
      <c r="N1858" s="2225" t="s">
        <v>3181</v>
      </c>
      <c r="O1858" s="2191">
        <v>0</v>
      </c>
      <c r="P1858" s="2191">
        <f>O1858*H1858</f>
        <v>0</v>
      </c>
      <c r="Q1858" s="2191">
        <v>1E-3</v>
      </c>
      <c r="R1858" s="2191">
        <f>Q1858*H1858</f>
        <v>5.8000000000000003E-2</v>
      </c>
      <c r="S1858" s="2191">
        <v>0</v>
      </c>
      <c r="T1858" s="2192">
        <f>S1858*H1858</f>
        <v>0</v>
      </c>
      <c r="AR1858" s="2193" t="s">
        <v>3389</v>
      </c>
      <c r="AT1858" s="2193" t="s">
        <v>135</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5772</v>
      </c>
    </row>
    <row r="1859" spans="2:65" s="2070" customFormat="1" ht="16.5" customHeight="1">
      <c r="B1859" s="2164"/>
      <c r="C1859" s="4608" t="s">
        <v>11528</v>
      </c>
      <c r="D1859" s="4608" t="s">
        <v>3286</v>
      </c>
      <c r="E1859" s="4609" t="s">
        <v>5774</v>
      </c>
      <c r="F1859" s="4610" t="s">
        <v>5775</v>
      </c>
      <c r="G1859" s="4611" t="s">
        <v>155</v>
      </c>
      <c r="H1859" s="4612">
        <v>5</v>
      </c>
      <c r="I1859" s="4613"/>
      <c r="J1859" s="4613">
        <f>ROUND(I1859*H1859,2)</f>
        <v>0</v>
      </c>
      <c r="K1859" s="4610" t="s">
        <v>142</v>
      </c>
      <c r="L1859" s="2071"/>
      <c r="M1859" s="2190" t="s">
        <v>3146</v>
      </c>
      <c r="N1859" s="2163" t="s">
        <v>3181</v>
      </c>
      <c r="O1859" s="2191">
        <v>1.38</v>
      </c>
      <c r="P1859" s="2191">
        <f>O1859*H1859</f>
        <v>6.8999999999999995</v>
      </c>
      <c r="Q1859" s="2191">
        <v>0</v>
      </c>
      <c r="R1859" s="2191">
        <f>Q1859*H1859</f>
        <v>0</v>
      </c>
      <c r="S1859" s="2191">
        <v>0</v>
      </c>
      <c r="T1859" s="2192">
        <f>S1859*H1859</f>
        <v>0</v>
      </c>
      <c r="AR1859" s="2193" t="s">
        <v>2894</v>
      </c>
      <c r="AT1859" s="2193" t="s">
        <v>3286</v>
      </c>
      <c r="AU1859" s="2193" t="s">
        <v>134</v>
      </c>
      <c r="AY1859" s="2056" t="s">
        <v>3285</v>
      </c>
      <c r="BE1859" s="2194">
        <f>IF(N1859="základní",J1859,0)</f>
        <v>0</v>
      </c>
      <c r="BF1859" s="2194">
        <f>IF(N1859="snížená",J1859,0)</f>
        <v>0</v>
      </c>
      <c r="BG1859" s="2194">
        <f>IF(N1859="zákl. přenesená",J1859,0)</f>
        <v>0</v>
      </c>
      <c r="BH1859" s="2194">
        <f>IF(N1859="sníž. přenesená",J1859,0)</f>
        <v>0</v>
      </c>
      <c r="BI1859" s="2194">
        <f>IF(N1859="nulová",J1859,0)</f>
        <v>0</v>
      </c>
      <c r="BJ1859" s="2056" t="s">
        <v>134</v>
      </c>
      <c r="BK1859" s="2194">
        <f>ROUND(I1859*H1859,2)</f>
        <v>0</v>
      </c>
      <c r="BL1859" s="2056" t="s">
        <v>2894</v>
      </c>
      <c r="BM1859" s="2193" t="s">
        <v>5776</v>
      </c>
    </row>
    <row r="1860" spans="2:65" s="2195" customFormat="1">
      <c r="B1860" s="2196"/>
      <c r="D1860" s="2197" t="s">
        <v>3303</v>
      </c>
      <c r="E1860" s="2198" t="s">
        <v>3146</v>
      </c>
      <c r="F1860" s="2199" t="s">
        <v>5434</v>
      </c>
      <c r="H1860" s="2198" t="s">
        <v>3146</v>
      </c>
      <c r="L1860" s="2196"/>
      <c r="M1860" s="2200"/>
      <c r="T1860" s="2201"/>
      <c r="AT1860" s="2198" t="s">
        <v>3303</v>
      </c>
      <c r="AU1860" s="2198" t="s">
        <v>134</v>
      </c>
      <c r="AV1860" s="2195" t="s">
        <v>133</v>
      </c>
      <c r="AW1860" s="2195" t="s">
        <v>3171</v>
      </c>
      <c r="AX1860" s="2195" t="s">
        <v>3213</v>
      </c>
      <c r="AY1860" s="2198" t="s">
        <v>3285</v>
      </c>
    </row>
    <row r="1861" spans="2:65" s="2209" customFormat="1">
      <c r="B1861" s="2210"/>
      <c r="D1861" s="2197" t="s">
        <v>3303</v>
      </c>
      <c r="E1861" s="2211" t="s">
        <v>3146</v>
      </c>
      <c r="F1861" s="2212" t="s">
        <v>133</v>
      </c>
      <c r="H1861" s="2213">
        <v>1</v>
      </c>
      <c r="L1861" s="2210"/>
      <c r="M1861" s="2214"/>
      <c r="T1861" s="2215"/>
      <c r="AT1861" s="2211" t="s">
        <v>3303</v>
      </c>
      <c r="AU1861" s="2211" t="s">
        <v>134</v>
      </c>
      <c r="AV1861" s="2209" t="s">
        <v>134</v>
      </c>
      <c r="AW1861" s="2209" t="s">
        <v>3171</v>
      </c>
      <c r="AX1861" s="2209" t="s">
        <v>3213</v>
      </c>
      <c r="AY1861" s="2211" t="s">
        <v>3285</v>
      </c>
    </row>
    <row r="1862" spans="2:65" s="2195" customFormat="1">
      <c r="B1862" s="2196"/>
      <c r="D1862" s="2197" t="s">
        <v>3303</v>
      </c>
      <c r="E1862" s="2198" t="s">
        <v>3146</v>
      </c>
      <c r="F1862" s="2199" t="s">
        <v>5436</v>
      </c>
      <c r="H1862" s="2198" t="s">
        <v>3146</v>
      </c>
      <c r="L1862" s="2196"/>
      <c r="M1862" s="2200"/>
      <c r="T1862" s="2201"/>
      <c r="AT1862" s="2198" t="s">
        <v>3303</v>
      </c>
      <c r="AU1862" s="2198" t="s">
        <v>134</v>
      </c>
      <c r="AV1862" s="2195" t="s">
        <v>133</v>
      </c>
      <c r="AW1862" s="2195" t="s">
        <v>3171</v>
      </c>
      <c r="AX1862" s="2195" t="s">
        <v>3213</v>
      </c>
      <c r="AY1862" s="2198" t="s">
        <v>3285</v>
      </c>
    </row>
    <row r="1863" spans="2:65" s="2209" customFormat="1">
      <c r="B1863" s="2210"/>
      <c r="D1863" s="2197" t="s">
        <v>3303</v>
      </c>
      <c r="E1863" s="2211" t="s">
        <v>3146</v>
      </c>
      <c r="F1863" s="2212" t="s">
        <v>134</v>
      </c>
      <c r="H1863" s="2213">
        <v>2</v>
      </c>
      <c r="L1863" s="2210"/>
      <c r="M1863" s="2214"/>
      <c r="T1863" s="2215"/>
      <c r="AT1863" s="2211" t="s">
        <v>3303</v>
      </c>
      <c r="AU1863" s="2211" t="s">
        <v>134</v>
      </c>
      <c r="AV1863" s="2209" t="s">
        <v>134</v>
      </c>
      <c r="AW1863" s="2209" t="s">
        <v>3171</v>
      </c>
      <c r="AX1863" s="2209" t="s">
        <v>3213</v>
      </c>
      <c r="AY1863" s="2211" t="s">
        <v>3285</v>
      </c>
    </row>
    <row r="1864" spans="2:65" s="2195" customFormat="1">
      <c r="B1864" s="2196"/>
      <c r="D1864" s="2197" t="s">
        <v>3303</v>
      </c>
      <c r="E1864" s="2198" t="s">
        <v>3146</v>
      </c>
      <c r="F1864" s="2199" t="s">
        <v>5438</v>
      </c>
      <c r="H1864" s="2198" t="s">
        <v>3146</v>
      </c>
      <c r="L1864" s="2196"/>
      <c r="M1864" s="2200"/>
      <c r="T1864" s="2201"/>
      <c r="AT1864" s="2198" t="s">
        <v>3303</v>
      </c>
      <c r="AU1864" s="2198" t="s">
        <v>134</v>
      </c>
      <c r="AV1864" s="2195" t="s">
        <v>133</v>
      </c>
      <c r="AW1864" s="2195" t="s">
        <v>3171</v>
      </c>
      <c r="AX1864" s="2195" t="s">
        <v>3213</v>
      </c>
      <c r="AY1864" s="2198" t="s">
        <v>3285</v>
      </c>
    </row>
    <row r="1865" spans="2:65" s="2209" customFormat="1">
      <c r="B1865" s="2210"/>
      <c r="D1865" s="2197" t="s">
        <v>3303</v>
      </c>
      <c r="E1865" s="2211" t="s">
        <v>3146</v>
      </c>
      <c r="F1865" s="2212" t="s">
        <v>134</v>
      </c>
      <c r="H1865" s="2213">
        <v>2</v>
      </c>
      <c r="L1865" s="2210"/>
      <c r="M1865" s="2214"/>
      <c r="T1865" s="2215"/>
      <c r="AT1865" s="2211" t="s">
        <v>3303</v>
      </c>
      <c r="AU1865" s="2211" t="s">
        <v>134</v>
      </c>
      <c r="AV1865" s="2209" t="s">
        <v>134</v>
      </c>
      <c r="AW1865" s="2209" t="s">
        <v>3171</v>
      </c>
      <c r="AX1865" s="2209" t="s">
        <v>3213</v>
      </c>
      <c r="AY1865" s="2211" t="s">
        <v>3285</v>
      </c>
    </row>
    <row r="1866" spans="2:65" s="2216" customFormat="1">
      <c r="B1866" s="2217"/>
      <c r="D1866" s="2197" t="s">
        <v>3303</v>
      </c>
      <c r="E1866" s="2218" t="s">
        <v>3146</v>
      </c>
      <c r="F1866" s="2219" t="s">
        <v>3306</v>
      </c>
      <c r="H1866" s="2220">
        <v>5</v>
      </c>
      <c r="L1866" s="2217"/>
      <c r="M1866" s="2221"/>
      <c r="T1866" s="2222"/>
      <c r="AT1866" s="2218" t="s">
        <v>3303</v>
      </c>
      <c r="AU1866" s="2218" t="s">
        <v>134</v>
      </c>
      <c r="AV1866" s="2216" t="s">
        <v>856</v>
      </c>
      <c r="AW1866" s="2216" t="s">
        <v>3171</v>
      </c>
      <c r="AX1866" s="2216" t="s">
        <v>133</v>
      </c>
      <c r="AY1866" s="2218" t="s">
        <v>3285</v>
      </c>
    </row>
    <row r="1867" spans="2:65" s="2070" customFormat="1" ht="33" customHeight="1">
      <c r="B1867" s="2164"/>
      <c r="C1867" s="4614" t="s">
        <v>11529</v>
      </c>
      <c r="D1867" s="4614" t="s">
        <v>135</v>
      </c>
      <c r="E1867" s="4615" t="s">
        <v>5778</v>
      </c>
      <c r="F1867" s="4616" t="s">
        <v>5779</v>
      </c>
      <c r="G1867" s="4617" t="s">
        <v>155</v>
      </c>
      <c r="H1867" s="4618">
        <v>5</v>
      </c>
      <c r="I1867" s="4619"/>
      <c r="J1867" s="4619">
        <f>ROUND(I1867*H1867,2)</f>
        <v>0</v>
      </c>
      <c r="K1867" s="4616" t="s">
        <v>142</v>
      </c>
      <c r="L1867" s="2223"/>
      <c r="M1867" s="2224" t="s">
        <v>3146</v>
      </c>
      <c r="N1867" s="2225" t="s">
        <v>3181</v>
      </c>
      <c r="O1867" s="2191">
        <v>0</v>
      </c>
      <c r="P1867" s="2191">
        <f>O1867*H1867</f>
        <v>0</v>
      </c>
      <c r="Q1867" s="2191">
        <v>1E-3</v>
      </c>
      <c r="R1867" s="2191">
        <f>Q1867*H1867</f>
        <v>5.0000000000000001E-3</v>
      </c>
      <c r="S1867" s="2191">
        <v>0</v>
      </c>
      <c r="T1867" s="2192">
        <f>S1867*H1867</f>
        <v>0</v>
      </c>
      <c r="AR1867" s="2193" t="s">
        <v>3389</v>
      </c>
      <c r="AT1867" s="2193" t="s">
        <v>135</v>
      </c>
      <c r="AU1867" s="2193" t="s">
        <v>134</v>
      </c>
      <c r="AY1867" s="2056" t="s">
        <v>3285</v>
      </c>
      <c r="BE1867" s="2194">
        <f>IF(N1867="základní",J1867,0)</f>
        <v>0</v>
      </c>
      <c r="BF1867" s="2194">
        <f>IF(N1867="snížená",J1867,0)</f>
        <v>0</v>
      </c>
      <c r="BG1867" s="2194">
        <f>IF(N1867="zákl. přenesená",J1867,0)</f>
        <v>0</v>
      </c>
      <c r="BH1867" s="2194">
        <f>IF(N1867="sníž. přenesená",J1867,0)</f>
        <v>0</v>
      </c>
      <c r="BI1867" s="2194">
        <f>IF(N1867="nulová",J1867,0)</f>
        <v>0</v>
      </c>
      <c r="BJ1867" s="2056" t="s">
        <v>134</v>
      </c>
      <c r="BK1867" s="2194">
        <f>ROUND(I1867*H1867,2)</f>
        <v>0</v>
      </c>
      <c r="BL1867" s="2056" t="s">
        <v>2894</v>
      </c>
      <c r="BM1867" s="2193" t="s">
        <v>5780</v>
      </c>
    </row>
    <row r="1868" spans="2:65" s="2070" customFormat="1" ht="24.2" customHeight="1">
      <c r="B1868" s="2164"/>
      <c r="C1868" s="4608" t="s">
        <v>11530</v>
      </c>
      <c r="D1868" s="4608" t="s">
        <v>3286</v>
      </c>
      <c r="E1868" s="4609" t="s">
        <v>11531</v>
      </c>
      <c r="F1868" s="4610" t="s">
        <v>11532</v>
      </c>
      <c r="G1868" s="4611" t="s">
        <v>302</v>
      </c>
      <c r="H1868" s="4612">
        <v>0.54200000000000004</v>
      </c>
      <c r="I1868" s="4613"/>
      <c r="J1868" s="4613">
        <f>ROUND(I1868*H1868,2)</f>
        <v>0</v>
      </c>
      <c r="K1868" s="4610" t="s">
        <v>142</v>
      </c>
      <c r="L1868" s="2071"/>
      <c r="M1868" s="2190" t="s">
        <v>3146</v>
      </c>
      <c r="N1868" s="2163" t="s">
        <v>3181</v>
      </c>
      <c r="O1868" s="2191">
        <v>2.1059999999999999</v>
      </c>
      <c r="P1868" s="2191">
        <f>O1868*H1868</f>
        <v>1.1414519999999999</v>
      </c>
      <c r="Q1868" s="2191">
        <v>0</v>
      </c>
      <c r="R1868" s="2191">
        <f>Q1868*H1868</f>
        <v>0</v>
      </c>
      <c r="S1868" s="2191">
        <v>0</v>
      </c>
      <c r="T1868" s="2192">
        <f>S1868*H1868</f>
        <v>0</v>
      </c>
      <c r="AR1868" s="2193" t="s">
        <v>2894</v>
      </c>
      <c r="AT1868" s="2193" t="s">
        <v>3286</v>
      </c>
      <c r="AU1868" s="2193" t="s">
        <v>134</v>
      </c>
      <c r="AY1868" s="2056" t="s">
        <v>3285</v>
      </c>
      <c r="BE1868" s="2194">
        <f>IF(N1868="základní",J1868,0)</f>
        <v>0</v>
      </c>
      <c r="BF1868" s="2194">
        <f>IF(N1868="snížená",J1868,0)</f>
        <v>0</v>
      </c>
      <c r="BG1868" s="2194">
        <f>IF(N1868="zákl. přenesená",J1868,0)</f>
        <v>0</v>
      </c>
      <c r="BH1868" s="2194">
        <f>IF(N1868="sníž. přenesená",J1868,0)</f>
        <v>0</v>
      </c>
      <c r="BI1868" s="2194">
        <f>IF(N1868="nulová",J1868,0)</f>
        <v>0</v>
      </c>
      <c r="BJ1868" s="2056" t="s">
        <v>134</v>
      </c>
      <c r="BK1868" s="2194">
        <f>ROUND(I1868*H1868,2)</f>
        <v>0</v>
      </c>
      <c r="BL1868" s="2056" t="s">
        <v>2894</v>
      </c>
      <c r="BM1868" s="2193" t="s">
        <v>11533</v>
      </c>
    </row>
    <row r="1869" spans="2:65" s="2070" customFormat="1" ht="24.2" customHeight="1">
      <c r="B1869" s="2164"/>
      <c r="C1869" s="4608" t="s">
        <v>11534</v>
      </c>
      <c r="D1869" s="4608" t="s">
        <v>3286</v>
      </c>
      <c r="E1869" s="4609" t="s">
        <v>11535</v>
      </c>
      <c r="F1869" s="4610" t="s">
        <v>11536</v>
      </c>
      <c r="G1869" s="4611" t="s">
        <v>302</v>
      </c>
      <c r="H1869" s="4612">
        <v>0.54200000000000004</v>
      </c>
      <c r="I1869" s="4613"/>
      <c r="J1869" s="4613">
        <f>ROUND(I1869*H1869,2)</f>
        <v>0</v>
      </c>
      <c r="K1869" s="4610" t="s">
        <v>142</v>
      </c>
      <c r="L1869" s="2071"/>
      <c r="M1869" s="2190" t="s">
        <v>3146</v>
      </c>
      <c r="N1869" s="2163" t="s">
        <v>3181</v>
      </c>
      <c r="O1869" s="2191">
        <v>1.21</v>
      </c>
      <c r="P1869" s="2191">
        <f>O1869*H1869</f>
        <v>0.65582000000000007</v>
      </c>
      <c r="Q1869" s="2191">
        <v>0</v>
      </c>
      <c r="R1869" s="2191">
        <f>Q1869*H1869</f>
        <v>0</v>
      </c>
      <c r="S1869" s="2191">
        <v>0</v>
      </c>
      <c r="T1869" s="2192">
        <f>S1869*H1869</f>
        <v>0</v>
      </c>
      <c r="AR1869" s="2193" t="s">
        <v>2894</v>
      </c>
      <c r="AT1869" s="2193" t="s">
        <v>3286</v>
      </c>
      <c r="AU1869" s="2193" t="s">
        <v>134</v>
      </c>
      <c r="AY1869" s="2056" t="s">
        <v>3285</v>
      </c>
      <c r="BE1869" s="2194">
        <f>IF(N1869="základní",J1869,0)</f>
        <v>0</v>
      </c>
      <c r="BF1869" s="2194">
        <f>IF(N1869="snížená",J1869,0)</f>
        <v>0</v>
      </c>
      <c r="BG1869" s="2194">
        <f>IF(N1869="zákl. přenesená",J1869,0)</f>
        <v>0</v>
      </c>
      <c r="BH1869" s="2194">
        <f>IF(N1869="sníž. přenesená",J1869,0)</f>
        <v>0</v>
      </c>
      <c r="BI1869" s="2194">
        <f>IF(N1869="nulová",J1869,0)</f>
        <v>0</v>
      </c>
      <c r="BJ1869" s="2056" t="s">
        <v>134</v>
      </c>
      <c r="BK1869" s="2194">
        <f>ROUND(I1869*H1869,2)</f>
        <v>0</v>
      </c>
      <c r="BL1869" s="2056" t="s">
        <v>2894</v>
      </c>
      <c r="BM1869" s="2193" t="s">
        <v>11537</v>
      </c>
    </row>
    <row r="1870" spans="2:65" s="2178" customFormat="1" ht="22.9" customHeight="1">
      <c r="B1870" s="2179"/>
      <c r="D1870" s="2180" t="s">
        <v>3212</v>
      </c>
      <c r="E1870" s="2188" t="s">
        <v>5781</v>
      </c>
      <c r="F1870" s="2188" t="s">
        <v>5782</v>
      </c>
      <c r="J1870" s="2189">
        <f>BK1870</f>
        <v>0</v>
      </c>
      <c r="L1870" s="2179"/>
      <c r="M1870" s="2183"/>
      <c r="P1870" s="2184">
        <f>SUM(P1871:P1902)</f>
        <v>168.67574999999999</v>
      </c>
      <c r="R1870" s="2184">
        <f>SUM(R1871:R1902)</f>
        <v>4.0758402</v>
      </c>
      <c r="T1870" s="2185">
        <f>SUM(T1871:T1902)</f>
        <v>0</v>
      </c>
      <c r="AR1870" s="2180" t="s">
        <v>134</v>
      </c>
      <c r="AT1870" s="2186" t="s">
        <v>3212</v>
      </c>
      <c r="AU1870" s="2186" t="s">
        <v>133</v>
      </c>
      <c r="AY1870" s="2180" t="s">
        <v>3285</v>
      </c>
      <c r="BK1870" s="2187">
        <f>SUM(BK1871:BK1902)</f>
        <v>0</v>
      </c>
    </row>
    <row r="1871" spans="2:65" s="2070" customFormat="1" ht="37.9" customHeight="1">
      <c r="B1871" s="2164"/>
      <c r="C1871" s="4608" t="s">
        <v>11538</v>
      </c>
      <c r="D1871" s="4608" t="s">
        <v>3286</v>
      </c>
      <c r="E1871" s="4609" t="s">
        <v>5784</v>
      </c>
      <c r="F1871" s="4610" t="s">
        <v>5785</v>
      </c>
      <c r="G1871" s="4611" t="s">
        <v>611</v>
      </c>
      <c r="H1871" s="4612">
        <v>167.625</v>
      </c>
      <c r="I1871" s="4613"/>
      <c r="J1871" s="4613">
        <f>ROUND(I1871*H1871,2)</f>
        <v>0</v>
      </c>
      <c r="K1871" s="4610" t="s">
        <v>142</v>
      </c>
      <c r="L1871" s="2071"/>
      <c r="M1871" s="2190" t="s">
        <v>3146</v>
      </c>
      <c r="N1871" s="2163" t="s">
        <v>3181</v>
      </c>
      <c r="O1871" s="2191">
        <v>0.41799999999999998</v>
      </c>
      <c r="P1871" s="2191">
        <f>O1871*H1871</f>
        <v>70.067250000000001</v>
      </c>
      <c r="Q1871" s="2191">
        <v>2.384E-2</v>
      </c>
      <c r="R1871" s="2191">
        <f>Q1871*H1871</f>
        <v>3.9961799999999998</v>
      </c>
      <c r="S1871" s="2191">
        <v>0</v>
      </c>
      <c r="T1871" s="2192">
        <f>S1871*H1871</f>
        <v>0</v>
      </c>
      <c r="AR1871" s="2193" t="s">
        <v>2894</v>
      </c>
      <c r="AT1871" s="2193" t="s">
        <v>3286</v>
      </c>
      <c r="AU1871" s="2193" t="s">
        <v>134</v>
      </c>
      <c r="AY1871" s="2056" t="s">
        <v>3285</v>
      </c>
      <c r="BE1871" s="2194">
        <f>IF(N1871="základní",J1871,0)</f>
        <v>0</v>
      </c>
      <c r="BF1871" s="2194">
        <f>IF(N1871="snížená",J1871,0)</f>
        <v>0</v>
      </c>
      <c r="BG1871" s="2194">
        <f>IF(N1871="zákl. přenesená",J1871,0)</f>
        <v>0</v>
      </c>
      <c r="BH1871" s="2194">
        <f>IF(N1871="sníž. přenesená",J1871,0)</f>
        <v>0</v>
      </c>
      <c r="BI1871" s="2194">
        <f>IF(N1871="nulová",J1871,0)</f>
        <v>0</v>
      </c>
      <c r="BJ1871" s="2056" t="s">
        <v>134</v>
      </c>
      <c r="BK1871" s="2194">
        <f>ROUND(I1871*H1871,2)</f>
        <v>0</v>
      </c>
      <c r="BL1871" s="2056" t="s">
        <v>2894</v>
      </c>
      <c r="BM1871" s="2193" t="s">
        <v>5786</v>
      </c>
    </row>
    <row r="1872" spans="2:65" s="2209" customFormat="1">
      <c r="B1872" s="2210"/>
      <c r="D1872" s="2197" t="s">
        <v>3303</v>
      </c>
      <c r="E1872" s="2211" t="s">
        <v>3146</v>
      </c>
      <c r="F1872" s="2212" t="s">
        <v>5787</v>
      </c>
      <c r="H1872" s="2213">
        <v>45</v>
      </c>
      <c r="L1872" s="2210"/>
      <c r="M1872" s="2214"/>
      <c r="T1872" s="2215"/>
      <c r="AT1872" s="2211" t="s">
        <v>3303</v>
      </c>
      <c r="AU1872" s="2211" t="s">
        <v>134</v>
      </c>
      <c r="AV1872" s="2209" t="s">
        <v>134</v>
      </c>
      <c r="AW1872" s="2209" t="s">
        <v>3171</v>
      </c>
      <c r="AX1872" s="2209" t="s">
        <v>3213</v>
      </c>
      <c r="AY1872" s="2211" t="s">
        <v>3285</v>
      </c>
    </row>
    <row r="1873" spans="2:51" s="2209" customFormat="1">
      <c r="B1873" s="2210"/>
      <c r="D1873" s="2197" t="s">
        <v>3303</v>
      </c>
      <c r="E1873" s="2211" t="s">
        <v>3146</v>
      </c>
      <c r="F1873" s="2212" t="s">
        <v>5788</v>
      </c>
      <c r="H1873" s="2213">
        <v>1.25</v>
      </c>
      <c r="L1873" s="2210"/>
      <c r="M1873" s="2214"/>
      <c r="T1873" s="2215"/>
      <c r="AT1873" s="2211" t="s">
        <v>3303</v>
      </c>
      <c r="AU1873" s="2211" t="s">
        <v>134</v>
      </c>
      <c r="AV1873" s="2209" t="s">
        <v>134</v>
      </c>
      <c r="AW1873" s="2209" t="s">
        <v>3171</v>
      </c>
      <c r="AX1873" s="2209" t="s">
        <v>3213</v>
      </c>
      <c r="AY1873" s="2211" t="s">
        <v>3285</v>
      </c>
    </row>
    <row r="1874" spans="2:51" s="2209" customFormat="1">
      <c r="B1874" s="2210"/>
      <c r="D1874" s="2197" t="s">
        <v>3303</v>
      </c>
      <c r="E1874" s="2211" t="s">
        <v>3146</v>
      </c>
      <c r="F1874" s="2212" t="s">
        <v>5789</v>
      </c>
      <c r="H1874" s="2213">
        <v>2.5</v>
      </c>
      <c r="L1874" s="2210"/>
      <c r="M1874" s="2214"/>
      <c r="T1874" s="2215"/>
      <c r="AT1874" s="2211" t="s">
        <v>3303</v>
      </c>
      <c r="AU1874" s="2211" t="s">
        <v>134</v>
      </c>
      <c r="AV1874" s="2209" t="s">
        <v>134</v>
      </c>
      <c r="AW1874" s="2209" t="s">
        <v>3171</v>
      </c>
      <c r="AX1874" s="2209" t="s">
        <v>3213</v>
      </c>
      <c r="AY1874" s="2211" t="s">
        <v>3285</v>
      </c>
    </row>
    <row r="1875" spans="2:51" s="2209" customFormat="1">
      <c r="B1875" s="2210"/>
      <c r="D1875" s="2197" t="s">
        <v>3303</v>
      </c>
      <c r="E1875" s="2211" t="s">
        <v>3146</v>
      </c>
      <c r="F1875" s="2212" t="s">
        <v>5790</v>
      </c>
      <c r="H1875" s="2213">
        <v>5</v>
      </c>
      <c r="L1875" s="2210"/>
      <c r="M1875" s="2214"/>
      <c r="T1875" s="2215"/>
      <c r="AT1875" s="2211" t="s">
        <v>3303</v>
      </c>
      <c r="AU1875" s="2211" t="s">
        <v>134</v>
      </c>
      <c r="AV1875" s="2209" t="s">
        <v>134</v>
      </c>
      <c r="AW1875" s="2209" t="s">
        <v>3171</v>
      </c>
      <c r="AX1875" s="2209" t="s">
        <v>3213</v>
      </c>
      <c r="AY1875" s="2211" t="s">
        <v>3285</v>
      </c>
    </row>
    <row r="1876" spans="2:51" s="2209" customFormat="1">
      <c r="B1876" s="2210"/>
      <c r="D1876" s="2197" t="s">
        <v>3303</v>
      </c>
      <c r="E1876" s="2211" t="s">
        <v>3146</v>
      </c>
      <c r="F1876" s="2212" t="s">
        <v>5791</v>
      </c>
      <c r="H1876" s="2213">
        <v>37.5</v>
      </c>
      <c r="L1876" s="2210"/>
      <c r="M1876" s="2214"/>
      <c r="T1876" s="2215"/>
      <c r="AT1876" s="2211" t="s">
        <v>3303</v>
      </c>
      <c r="AU1876" s="2211" t="s">
        <v>134</v>
      </c>
      <c r="AV1876" s="2209" t="s">
        <v>134</v>
      </c>
      <c r="AW1876" s="2209" t="s">
        <v>3171</v>
      </c>
      <c r="AX1876" s="2209" t="s">
        <v>3213</v>
      </c>
      <c r="AY1876" s="2211" t="s">
        <v>3285</v>
      </c>
    </row>
    <row r="1877" spans="2:51" s="2209" customFormat="1">
      <c r="B1877" s="2210"/>
      <c r="D1877" s="2197" t="s">
        <v>3303</v>
      </c>
      <c r="E1877" s="2211" t="s">
        <v>3146</v>
      </c>
      <c r="F1877" s="2212" t="s">
        <v>5792</v>
      </c>
      <c r="H1877" s="2213">
        <v>1.5</v>
      </c>
      <c r="L1877" s="2210"/>
      <c r="M1877" s="2214"/>
      <c r="T1877" s="2215"/>
      <c r="AT1877" s="2211" t="s">
        <v>3303</v>
      </c>
      <c r="AU1877" s="2211" t="s">
        <v>134</v>
      </c>
      <c r="AV1877" s="2209" t="s">
        <v>134</v>
      </c>
      <c r="AW1877" s="2209" t="s">
        <v>3171</v>
      </c>
      <c r="AX1877" s="2209" t="s">
        <v>3213</v>
      </c>
      <c r="AY1877" s="2211" t="s">
        <v>3285</v>
      </c>
    </row>
    <row r="1878" spans="2:51" s="2209" customFormat="1">
      <c r="B1878" s="2210"/>
      <c r="D1878" s="2197" t="s">
        <v>3303</v>
      </c>
      <c r="E1878" s="2211" t="s">
        <v>3146</v>
      </c>
      <c r="F1878" s="2212" t="s">
        <v>5793</v>
      </c>
      <c r="H1878" s="2213">
        <v>7.5</v>
      </c>
      <c r="L1878" s="2210"/>
      <c r="M1878" s="2214"/>
      <c r="T1878" s="2215"/>
      <c r="AT1878" s="2211" t="s">
        <v>3303</v>
      </c>
      <c r="AU1878" s="2211" t="s">
        <v>134</v>
      </c>
      <c r="AV1878" s="2209" t="s">
        <v>134</v>
      </c>
      <c r="AW1878" s="2209" t="s">
        <v>3171</v>
      </c>
      <c r="AX1878" s="2209" t="s">
        <v>3213</v>
      </c>
      <c r="AY1878" s="2211" t="s">
        <v>3285</v>
      </c>
    </row>
    <row r="1879" spans="2:51" s="2209" customFormat="1">
      <c r="B1879" s="2210"/>
      <c r="D1879" s="2197" t="s">
        <v>3303</v>
      </c>
      <c r="E1879" s="2211" t="s">
        <v>3146</v>
      </c>
      <c r="F1879" s="2212" t="s">
        <v>5789</v>
      </c>
      <c r="H1879" s="2213">
        <v>2.5</v>
      </c>
      <c r="L1879" s="2210"/>
      <c r="M1879" s="2214"/>
      <c r="T1879" s="2215"/>
      <c r="AT1879" s="2211" t="s">
        <v>3303</v>
      </c>
      <c r="AU1879" s="2211" t="s">
        <v>134</v>
      </c>
      <c r="AV1879" s="2209" t="s">
        <v>134</v>
      </c>
      <c r="AW1879" s="2209" t="s">
        <v>3171</v>
      </c>
      <c r="AX1879" s="2209" t="s">
        <v>3213</v>
      </c>
      <c r="AY1879" s="2211" t="s">
        <v>3285</v>
      </c>
    </row>
    <row r="1880" spans="2:51" s="2209" customFormat="1">
      <c r="B1880" s="2210"/>
      <c r="D1880" s="2197" t="s">
        <v>3303</v>
      </c>
      <c r="E1880" s="2211" t="s">
        <v>3146</v>
      </c>
      <c r="F1880" s="2212" t="s">
        <v>5794</v>
      </c>
      <c r="H1880" s="2213">
        <v>2.5</v>
      </c>
      <c r="L1880" s="2210"/>
      <c r="M1880" s="2214"/>
      <c r="T1880" s="2215"/>
      <c r="AT1880" s="2211" t="s">
        <v>3303</v>
      </c>
      <c r="AU1880" s="2211" t="s">
        <v>134</v>
      </c>
      <c r="AV1880" s="2209" t="s">
        <v>134</v>
      </c>
      <c r="AW1880" s="2209" t="s">
        <v>3171</v>
      </c>
      <c r="AX1880" s="2209" t="s">
        <v>3213</v>
      </c>
      <c r="AY1880" s="2211" t="s">
        <v>3285</v>
      </c>
    </row>
    <row r="1881" spans="2:51" s="2209" customFormat="1">
      <c r="B1881" s="2210"/>
      <c r="D1881" s="2197" t="s">
        <v>3303</v>
      </c>
      <c r="E1881" s="2211" t="s">
        <v>3146</v>
      </c>
      <c r="F1881" s="2212" t="s">
        <v>5795</v>
      </c>
      <c r="H1881" s="2213">
        <v>12.5</v>
      </c>
      <c r="L1881" s="2210"/>
      <c r="M1881" s="2214"/>
      <c r="T1881" s="2215"/>
      <c r="AT1881" s="2211" t="s">
        <v>3303</v>
      </c>
      <c r="AU1881" s="2211" t="s">
        <v>134</v>
      </c>
      <c r="AV1881" s="2209" t="s">
        <v>134</v>
      </c>
      <c r="AW1881" s="2209" t="s">
        <v>3171</v>
      </c>
      <c r="AX1881" s="2209" t="s">
        <v>3213</v>
      </c>
      <c r="AY1881" s="2211" t="s">
        <v>3285</v>
      </c>
    </row>
    <row r="1882" spans="2:51" s="2209" customFormat="1">
      <c r="B1882" s="2210"/>
      <c r="D1882" s="2197" t="s">
        <v>3303</v>
      </c>
      <c r="E1882" s="2211" t="s">
        <v>3146</v>
      </c>
      <c r="F1882" s="2212" t="s">
        <v>5789</v>
      </c>
      <c r="H1882" s="2213">
        <v>2.5</v>
      </c>
      <c r="L1882" s="2210"/>
      <c r="M1882" s="2214"/>
      <c r="T1882" s="2215"/>
      <c r="AT1882" s="2211" t="s">
        <v>3303</v>
      </c>
      <c r="AU1882" s="2211" t="s">
        <v>134</v>
      </c>
      <c r="AV1882" s="2209" t="s">
        <v>134</v>
      </c>
      <c r="AW1882" s="2209" t="s">
        <v>3171</v>
      </c>
      <c r="AX1882" s="2209" t="s">
        <v>3213</v>
      </c>
      <c r="AY1882" s="2211" t="s">
        <v>3285</v>
      </c>
    </row>
    <row r="1883" spans="2:51" s="2209" customFormat="1">
      <c r="B1883" s="2210"/>
      <c r="D1883" s="2197" t="s">
        <v>3303</v>
      </c>
      <c r="E1883" s="2211" t="s">
        <v>3146</v>
      </c>
      <c r="F1883" s="2212" t="s">
        <v>5796</v>
      </c>
      <c r="H1883" s="2213">
        <v>20</v>
      </c>
      <c r="L1883" s="2210"/>
      <c r="M1883" s="2214"/>
      <c r="T1883" s="2215"/>
      <c r="AT1883" s="2211" t="s">
        <v>3303</v>
      </c>
      <c r="AU1883" s="2211" t="s">
        <v>134</v>
      </c>
      <c r="AV1883" s="2209" t="s">
        <v>134</v>
      </c>
      <c r="AW1883" s="2209" t="s">
        <v>3171</v>
      </c>
      <c r="AX1883" s="2209" t="s">
        <v>3213</v>
      </c>
      <c r="AY1883" s="2211" t="s">
        <v>3285</v>
      </c>
    </row>
    <row r="1884" spans="2:51" s="2209" customFormat="1">
      <c r="B1884" s="2210"/>
      <c r="D1884" s="2197" t="s">
        <v>3303</v>
      </c>
      <c r="E1884" s="2211" t="s">
        <v>3146</v>
      </c>
      <c r="F1884" s="2212" t="s">
        <v>5789</v>
      </c>
      <c r="H1884" s="2213">
        <v>2.5</v>
      </c>
      <c r="L1884" s="2210"/>
      <c r="M1884" s="2214"/>
      <c r="T1884" s="2215"/>
      <c r="AT1884" s="2211" t="s">
        <v>3303</v>
      </c>
      <c r="AU1884" s="2211" t="s">
        <v>134</v>
      </c>
      <c r="AV1884" s="2209" t="s">
        <v>134</v>
      </c>
      <c r="AW1884" s="2209" t="s">
        <v>3171</v>
      </c>
      <c r="AX1884" s="2209" t="s">
        <v>3213</v>
      </c>
      <c r="AY1884" s="2211" t="s">
        <v>3285</v>
      </c>
    </row>
    <row r="1885" spans="2:51" s="2209" customFormat="1">
      <c r="B1885" s="2210"/>
      <c r="D1885" s="2197" t="s">
        <v>3303</v>
      </c>
      <c r="E1885" s="2211" t="s">
        <v>3146</v>
      </c>
      <c r="F1885" s="2212" t="s">
        <v>5797</v>
      </c>
      <c r="H1885" s="2213">
        <v>3</v>
      </c>
      <c r="L1885" s="2210"/>
      <c r="M1885" s="2214"/>
      <c r="T1885" s="2215"/>
      <c r="AT1885" s="2211" t="s">
        <v>3303</v>
      </c>
      <c r="AU1885" s="2211" t="s">
        <v>134</v>
      </c>
      <c r="AV1885" s="2209" t="s">
        <v>134</v>
      </c>
      <c r="AW1885" s="2209" t="s">
        <v>3171</v>
      </c>
      <c r="AX1885" s="2209" t="s">
        <v>3213</v>
      </c>
      <c r="AY1885" s="2211" t="s">
        <v>3285</v>
      </c>
    </row>
    <row r="1886" spans="2:51" s="2209" customFormat="1">
      <c r="B1886" s="2210"/>
      <c r="D1886" s="2197" t="s">
        <v>3303</v>
      </c>
      <c r="E1886" s="2211" t="s">
        <v>3146</v>
      </c>
      <c r="F1886" s="2212" t="s">
        <v>5793</v>
      </c>
      <c r="H1886" s="2213">
        <v>7.5</v>
      </c>
      <c r="L1886" s="2210"/>
      <c r="M1886" s="2214"/>
      <c r="T1886" s="2215"/>
      <c r="AT1886" s="2211" t="s">
        <v>3303</v>
      </c>
      <c r="AU1886" s="2211" t="s">
        <v>134</v>
      </c>
      <c r="AV1886" s="2209" t="s">
        <v>134</v>
      </c>
      <c r="AW1886" s="2209" t="s">
        <v>3171</v>
      </c>
      <c r="AX1886" s="2209" t="s">
        <v>3213</v>
      </c>
      <c r="AY1886" s="2211" t="s">
        <v>3285</v>
      </c>
    </row>
    <row r="1887" spans="2:51" s="2209" customFormat="1">
      <c r="B1887" s="2210"/>
      <c r="D1887" s="2197" t="s">
        <v>3303</v>
      </c>
      <c r="E1887" s="2211" t="s">
        <v>3146</v>
      </c>
      <c r="F1887" s="2212" t="s">
        <v>5794</v>
      </c>
      <c r="H1887" s="2213">
        <v>2.5</v>
      </c>
      <c r="L1887" s="2210"/>
      <c r="M1887" s="2214"/>
      <c r="T1887" s="2215"/>
      <c r="AT1887" s="2211" t="s">
        <v>3303</v>
      </c>
      <c r="AU1887" s="2211" t="s">
        <v>134</v>
      </c>
      <c r="AV1887" s="2209" t="s">
        <v>134</v>
      </c>
      <c r="AW1887" s="2209" t="s">
        <v>3171</v>
      </c>
      <c r="AX1887" s="2209" t="s">
        <v>3213</v>
      </c>
      <c r="AY1887" s="2211" t="s">
        <v>3285</v>
      </c>
    </row>
    <row r="1888" spans="2:51" s="2209" customFormat="1">
      <c r="B1888" s="2210"/>
      <c r="D1888" s="2197" t="s">
        <v>3303</v>
      </c>
      <c r="E1888" s="2211" t="s">
        <v>3146</v>
      </c>
      <c r="F1888" s="2212" t="s">
        <v>5798</v>
      </c>
      <c r="H1888" s="2213">
        <v>9.375</v>
      </c>
      <c r="L1888" s="2210"/>
      <c r="M1888" s="2214"/>
      <c r="T1888" s="2215"/>
      <c r="AT1888" s="2211" t="s">
        <v>3303</v>
      </c>
      <c r="AU1888" s="2211" t="s">
        <v>134</v>
      </c>
      <c r="AV1888" s="2209" t="s">
        <v>134</v>
      </c>
      <c r="AW1888" s="2209" t="s">
        <v>3171</v>
      </c>
      <c r="AX1888" s="2209" t="s">
        <v>3213</v>
      </c>
      <c r="AY1888" s="2211" t="s">
        <v>3285</v>
      </c>
    </row>
    <row r="1889" spans="2:65" s="2209" customFormat="1">
      <c r="B1889" s="2210"/>
      <c r="D1889" s="2197" t="s">
        <v>3303</v>
      </c>
      <c r="E1889" s="2211" t="s">
        <v>3146</v>
      </c>
      <c r="F1889" s="2212" t="s">
        <v>5789</v>
      </c>
      <c r="H1889" s="2213">
        <v>2.5</v>
      </c>
      <c r="L1889" s="2210"/>
      <c r="M1889" s="2214"/>
      <c r="T1889" s="2215"/>
      <c r="AT1889" s="2211" t="s">
        <v>3303</v>
      </c>
      <c r="AU1889" s="2211" t="s">
        <v>134</v>
      </c>
      <c r="AV1889" s="2209" t="s">
        <v>134</v>
      </c>
      <c r="AW1889" s="2209" t="s">
        <v>3171</v>
      </c>
      <c r="AX1889" s="2209" t="s">
        <v>3213</v>
      </c>
      <c r="AY1889" s="2211" t="s">
        <v>3285</v>
      </c>
    </row>
    <row r="1890" spans="2:65" s="2216" customFormat="1">
      <c r="B1890" s="2217"/>
      <c r="D1890" s="2197" t="s">
        <v>3303</v>
      </c>
      <c r="E1890" s="2218" t="s">
        <v>3146</v>
      </c>
      <c r="F1890" s="2219" t="s">
        <v>3306</v>
      </c>
      <c r="H1890" s="2220">
        <v>167.625</v>
      </c>
      <c r="L1890" s="2217"/>
      <c r="M1890" s="2221"/>
      <c r="T1890" s="2222"/>
      <c r="AT1890" s="2218" t="s">
        <v>3303</v>
      </c>
      <c r="AU1890" s="2218" t="s">
        <v>134</v>
      </c>
      <c r="AV1890" s="2216" t="s">
        <v>856</v>
      </c>
      <c r="AW1890" s="2216" t="s">
        <v>3171</v>
      </c>
      <c r="AX1890" s="2216" t="s">
        <v>133</v>
      </c>
      <c r="AY1890" s="2218" t="s">
        <v>3285</v>
      </c>
    </row>
    <row r="1891" spans="2:65" s="2070" customFormat="1" ht="16.5" customHeight="1">
      <c r="B1891" s="2164"/>
      <c r="C1891" s="4608" t="s">
        <v>11539</v>
      </c>
      <c r="D1891" s="4608" t="s">
        <v>3286</v>
      </c>
      <c r="E1891" s="4609" t="s">
        <v>5800</v>
      </c>
      <c r="F1891" s="4610" t="s">
        <v>11540</v>
      </c>
      <c r="G1891" s="4611" t="s">
        <v>155</v>
      </c>
      <c r="H1891" s="4612">
        <v>8</v>
      </c>
      <c r="I1891" s="4613"/>
      <c r="J1891" s="4613">
        <f>ROUND(I1891*H1891,2)</f>
        <v>0</v>
      </c>
      <c r="K1891" s="4610" t="s">
        <v>3146</v>
      </c>
      <c r="L1891" s="2071"/>
      <c r="M1891" s="2190" t="s">
        <v>3146</v>
      </c>
      <c r="N1891" s="2163" t="s">
        <v>3181</v>
      </c>
      <c r="O1891" s="2191">
        <v>0</v>
      </c>
      <c r="P1891" s="2191">
        <f>O1891*H1891</f>
        <v>0</v>
      </c>
      <c r="Q1891" s="2191">
        <v>0</v>
      </c>
      <c r="R1891" s="2191">
        <f>Q1891*H1891</f>
        <v>0</v>
      </c>
      <c r="S1891" s="2191">
        <v>0</v>
      </c>
      <c r="T1891" s="2192">
        <f>S1891*H1891</f>
        <v>0</v>
      </c>
      <c r="AR1891" s="2193" t="s">
        <v>2894</v>
      </c>
      <c r="AT1891" s="2193" t="s">
        <v>3286</v>
      </c>
      <c r="AU1891" s="2193" t="s">
        <v>134</v>
      </c>
      <c r="AY1891" s="2056" t="s">
        <v>3285</v>
      </c>
      <c r="BE1891" s="2194">
        <f>IF(N1891="základní",J1891,0)</f>
        <v>0</v>
      </c>
      <c r="BF1891" s="2194">
        <f>IF(N1891="snížená",J1891,0)</f>
        <v>0</v>
      </c>
      <c r="BG1891" s="2194">
        <f>IF(N1891="zákl. přenesená",J1891,0)</f>
        <v>0</v>
      </c>
      <c r="BH1891" s="2194">
        <f>IF(N1891="sníž. přenesená",J1891,0)</f>
        <v>0</v>
      </c>
      <c r="BI1891" s="2194">
        <f>IF(N1891="nulová",J1891,0)</f>
        <v>0</v>
      </c>
      <c r="BJ1891" s="2056" t="s">
        <v>134</v>
      </c>
      <c r="BK1891" s="2194">
        <f>ROUND(I1891*H1891,2)</f>
        <v>0</v>
      </c>
      <c r="BL1891" s="2056" t="s">
        <v>2894</v>
      </c>
      <c r="BM1891" s="2193" t="s">
        <v>5801</v>
      </c>
    </row>
    <row r="1892" spans="2:65" s="2070" customFormat="1" ht="16.5" customHeight="1">
      <c r="B1892" s="2164"/>
      <c r="C1892" s="5561" t="s">
        <v>11541</v>
      </c>
      <c r="D1892" s="4608" t="s">
        <v>3286</v>
      </c>
      <c r="E1892" s="4609" t="s">
        <v>5803</v>
      </c>
      <c r="F1892" s="4610" t="s">
        <v>5804</v>
      </c>
      <c r="G1892" s="4611" t="s">
        <v>611</v>
      </c>
      <c r="H1892" s="4612">
        <v>128.9</v>
      </c>
      <c r="I1892" s="5874" t="s">
        <v>11555</v>
      </c>
      <c r="J1892" s="5875"/>
      <c r="K1892" s="4610" t="s">
        <v>142</v>
      </c>
      <c r="L1892" s="2071"/>
      <c r="M1892" s="2190" t="s">
        <v>3146</v>
      </c>
      <c r="N1892" s="2163" t="s">
        <v>3181</v>
      </c>
      <c r="O1892" s="2191">
        <v>0.76500000000000001</v>
      </c>
      <c r="P1892" s="2191">
        <f>O1892*H1892</f>
        <v>98.608500000000006</v>
      </c>
      <c r="Q1892" s="2191">
        <v>0</v>
      </c>
      <c r="R1892" s="2191">
        <f>Q1892*H1892</f>
        <v>0</v>
      </c>
      <c r="S1892" s="2191">
        <v>0</v>
      </c>
      <c r="T1892" s="2192">
        <f>S1892*H1892</f>
        <v>0</v>
      </c>
      <c r="AR1892" s="2193" t="s">
        <v>2894</v>
      </c>
      <c r="AT1892" s="2193" t="s">
        <v>3286</v>
      </c>
      <c r="AU1892" s="2193" t="s">
        <v>134</v>
      </c>
      <c r="AY1892" s="2056" t="s">
        <v>3285</v>
      </c>
      <c r="BE1892" s="2194">
        <f>IF(N1892="základní",J1892,0)</f>
        <v>0</v>
      </c>
      <c r="BF1892" s="2194">
        <f>IF(N1892="snížená",J1892,0)</f>
        <v>0</v>
      </c>
      <c r="BG1892" s="2194">
        <f>IF(N1892="zákl. přenesená",J1892,0)</f>
        <v>0</v>
      </c>
      <c r="BH1892" s="2194">
        <f>IF(N1892="sníž. přenesená",J1892,0)</f>
        <v>0</v>
      </c>
      <c r="BI1892" s="2194">
        <f>IF(N1892="nulová",J1892,0)</f>
        <v>0</v>
      </c>
      <c r="BJ1892" s="2056" t="s">
        <v>134</v>
      </c>
      <c r="BK1892" s="2194">
        <v>0</v>
      </c>
      <c r="BL1892" s="2056" t="s">
        <v>2894</v>
      </c>
      <c r="BM1892" s="2193" t="s">
        <v>5805</v>
      </c>
    </row>
    <row r="1893" spans="2:65" s="2195" customFormat="1">
      <c r="B1893" s="2196"/>
      <c r="D1893" s="2197" t="s">
        <v>3303</v>
      </c>
      <c r="E1893" s="2198" t="s">
        <v>3146</v>
      </c>
      <c r="F1893" s="2199" t="s">
        <v>5806</v>
      </c>
      <c r="H1893" s="2198" t="s">
        <v>3146</v>
      </c>
      <c r="L1893" s="2196"/>
      <c r="M1893" s="2200"/>
      <c r="T1893" s="2201"/>
      <c r="AT1893" s="2198" t="s">
        <v>3303</v>
      </c>
      <c r="AU1893" s="2198" t="s">
        <v>134</v>
      </c>
      <c r="AV1893" s="2195" t="s">
        <v>133</v>
      </c>
      <c r="AW1893" s="2195" t="s">
        <v>3171</v>
      </c>
      <c r="AX1893" s="2195" t="s">
        <v>3213</v>
      </c>
      <c r="AY1893" s="2198" t="s">
        <v>3285</v>
      </c>
    </row>
    <row r="1894" spans="2:65" s="2209" customFormat="1">
      <c r="B1894" s="2210"/>
      <c r="D1894" s="2197" t="s">
        <v>3303</v>
      </c>
      <c r="E1894" s="2211" t="s">
        <v>3146</v>
      </c>
      <c r="F1894" s="2212" t="s">
        <v>5807</v>
      </c>
      <c r="H1894" s="2213">
        <v>12</v>
      </c>
      <c r="L1894" s="2210"/>
      <c r="M1894" s="2214"/>
      <c r="T1894" s="2215"/>
      <c r="AT1894" s="2211" t="s">
        <v>3303</v>
      </c>
      <c r="AU1894" s="2211" t="s">
        <v>134</v>
      </c>
      <c r="AV1894" s="2209" t="s">
        <v>134</v>
      </c>
      <c r="AW1894" s="2209" t="s">
        <v>3171</v>
      </c>
      <c r="AX1894" s="2209" t="s">
        <v>3213</v>
      </c>
      <c r="AY1894" s="2211" t="s">
        <v>3285</v>
      </c>
    </row>
    <row r="1895" spans="2:65" s="2209" customFormat="1">
      <c r="B1895" s="2210"/>
      <c r="D1895" s="2197" t="s">
        <v>3303</v>
      </c>
      <c r="E1895" s="2211" t="s">
        <v>3146</v>
      </c>
      <c r="F1895" s="2212" t="s">
        <v>5808</v>
      </c>
      <c r="H1895" s="2213">
        <v>28</v>
      </c>
      <c r="L1895" s="2210"/>
      <c r="M1895" s="2214"/>
      <c r="T1895" s="2215"/>
      <c r="AT1895" s="2211" t="s">
        <v>3303</v>
      </c>
      <c r="AU1895" s="2211" t="s">
        <v>134</v>
      </c>
      <c r="AV1895" s="2209" t="s">
        <v>134</v>
      </c>
      <c r="AW1895" s="2209" t="s">
        <v>3171</v>
      </c>
      <c r="AX1895" s="2209" t="s">
        <v>3213</v>
      </c>
      <c r="AY1895" s="2211" t="s">
        <v>3285</v>
      </c>
    </row>
    <row r="1896" spans="2:65" s="2202" customFormat="1">
      <c r="B1896" s="2203"/>
      <c r="D1896" s="2197" t="s">
        <v>3303</v>
      </c>
      <c r="E1896" s="2204" t="s">
        <v>3146</v>
      </c>
      <c r="F1896" s="2205" t="s">
        <v>3305</v>
      </c>
      <c r="H1896" s="2206">
        <v>40</v>
      </c>
      <c r="L1896" s="2203"/>
      <c r="M1896" s="2207"/>
      <c r="T1896" s="2208"/>
      <c r="AT1896" s="2204" t="s">
        <v>3303</v>
      </c>
      <c r="AU1896" s="2204" t="s">
        <v>134</v>
      </c>
      <c r="AV1896" s="2202" t="s">
        <v>854</v>
      </c>
      <c r="AW1896" s="2202" t="s">
        <v>3171</v>
      </c>
      <c r="AX1896" s="2202" t="s">
        <v>3213</v>
      </c>
      <c r="AY1896" s="2204" t="s">
        <v>3285</v>
      </c>
    </row>
    <row r="1897" spans="2:65" s="2195" customFormat="1">
      <c r="B1897" s="2196"/>
      <c r="D1897" s="2197" t="s">
        <v>3303</v>
      </c>
      <c r="E1897" s="2198" t="s">
        <v>3146</v>
      </c>
      <c r="F1897" s="2199" t="s">
        <v>5809</v>
      </c>
      <c r="H1897" s="2198" t="s">
        <v>3146</v>
      </c>
      <c r="L1897" s="2196"/>
      <c r="M1897" s="2200"/>
      <c r="T1897" s="2201"/>
      <c r="AT1897" s="2198" t="s">
        <v>3303</v>
      </c>
      <c r="AU1897" s="2198" t="s">
        <v>134</v>
      </c>
      <c r="AV1897" s="2195" t="s">
        <v>133</v>
      </c>
      <c r="AW1897" s="2195" t="s">
        <v>3171</v>
      </c>
      <c r="AX1897" s="2195" t="s">
        <v>3213</v>
      </c>
      <c r="AY1897" s="2198" t="s">
        <v>3285</v>
      </c>
    </row>
    <row r="1898" spans="2:65" s="2209" customFormat="1" ht="22.5">
      <c r="B1898" s="2210"/>
      <c r="D1898" s="2197" t="s">
        <v>3303</v>
      </c>
      <c r="E1898" s="2211" t="s">
        <v>3146</v>
      </c>
      <c r="F1898" s="2212" t="s">
        <v>5810</v>
      </c>
      <c r="H1898" s="2213">
        <v>88.9</v>
      </c>
      <c r="L1898" s="2210"/>
      <c r="M1898" s="2214"/>
      <c r="T1898" s="2215"/>
      <c r="AT1898" s="2211" t="s">
        <v>3303</v>
      </c>
      <c r="AU1898" s="2211" t="s">
        <v>134</v>
      </c>
      <c r="AV1898" s="2209" t="s">
        <v>134</v>
      </c>
      <c r="AW1898" s="2209" t="s">
        <v>3171</v>
      </c>
      <c r="AX1898" s="2209" t="s">
        <v>3213</v>
      </c>
      <c r="AY1898" s="2211" t="s">
        <v>3285</v>
      </c>
    </row>
    <row r="1899" spans="2:65" s="2202" customFormat="1">
      <c r="B1899" s="2203"/>
      <c r="D1899" s="2197" t="s">
        <v>3303</v>
      </c>
      <c r="E1899" s="2204" t="s">
        <v>3146</v>
      </c>
      <c r="F1899" s="2205" t="s">
        <v>3305</v>
      </c>
      <c r="H1899" s="2206">
        <v>88.9</v>
      </c>
      <c r="L1899" s="2203"/>
      <c r="M1899" s="2207"/>
      <c r="T1899" s="2208"/>
      <c r="AT1899" s="2204" t="s">
        <v>3303</v>
      </c>
      <c r="AU1899" s="2204" t="s">
        <v>134</v>
      </c>
      <c r="AV1899" s="2202" t="s">
        <v>854</v>
      </c>
      <c r="AW1899" s="2202" t="s">
        <v>3171</v>
      </c>
      <c r="AX1899" s="2202" t="s">
        <v>3213</v>
      </c>
      <c r="AY1899" s="2204" t="s">
        <v>3285</v>
      </c>
    </row>
    <row r="1900" spans="2:65" s="2216" customFormat="1">
      <c r="B1900" s="2217"/>
      <c r="D1900" s="2197" t="s">
        <v>3303</v>
      </c>
      <c r="E1900" s="2218" t="s">
        <v>3146</v>
      </c>
      <c r="F1900" s="2219" t="s">
        <v>3306</v>
      </c>
      <c r="H1900" s="2220">
        <v>128.9</v>
      </c>
      <c r="L1900" s="2217"/>
      <c r="M1900" s="2221"/>
      <c r="T1900" s="2222"/>
      <c r="AT1900" s="2218" t="s">
        <v>3303</v>
      </c>
      <c r="AU1900" s="2218" t="s">
        <v>134</v>
      </c>
      <c r="AV1900" s="2216" t="s">
        <v>856</v>
      </c>
      <c r="AW1900" s="2216" t="s">
        <v>3171</v>
      </c>
      <c r="AX1900" s="2216" t="s">
        <v>133</v>
      </c>
      <c r="AY1900" s="2218" t="s">
        <v>3285</v>
      </c>
    </row>
    <row r="1901" spans="2:65" s="2070" customFormat="1" ht="16.5" customHeight="1">
      <c r="B1901" s="2164"/>
      <c r="C1901" s="4614" t="s">
        <v>11542</v>
      </c>
      <c r="D1901" s="4614" t="s">
        <v>135</v>
      </c>
      <c r="E1901" s="4615" t="s">
        <v>5812</v>
      </c>
      <c r="F1901" s="4616" t="s">
        <v>5813</v>
      </c>
      <c r="G1901" s="4617" t="s">
        <v>611</v>
      </c>
      <c r="H1901" s="4618">
        <v>132.767</v>
      </c>
      <c r="I1901" s="4619"/>
      <c r="J1901" s="4619">
        <f>ROUND(I1901*H1901,2)</f>
        <v>0</v>
      </c>
      <c r="K1901" s="4616" t="s">
        <v>142</v>
      </c>
      <c r="L1901" s="2223"/>
      <c r="M1901" s="2224" t="s">
        <v>3146</v>
      </c>
      <c r="N1901" s="2225" t="s">
        <v>3181</v>
      </c>
      <c r="O1901" s="2191">
        <v>0</v>
      </c>
      <c r="P1901" s="2191">
        <f>O1901*H1901</f>
        <v>0</v>
      </c>
      <c r="Q1901" s="2191">
        <v>5.9999999999999995E-4</v>
      </c>
      <c r="R1901" s="2191">
        <f>Q1901*H1901</f>
        <v>7.9660199999999987E-2</v>
      </c>
      <c r="S1901" s="2191">
        <v>0</v>
      </c>
      <c r="T1901" s="2192">
        <f>S1901*H1901</f>
        <v>0</v>
      </c>
      <c r="AR1901" s="2193" t="s">
        <v>3389</v>
      </c>
      <c r="AT1901" s="2193" t="s">
        <v>135</v>
      </c>
      <c r="AU1901" s="2193" t="s">
        <v>134</v>
      </c>
      <c r="AY1901" s="2056" t="s">
        <v>3285</v>
      </c>
      <c r="BE1901" s="2194">
        <f>IF(N1901="základní",J1901,0)</f>
        <v>0</v>
      </c>
      <c r="BF1901" s="2194">
        <f>IF(N1901="snížená",J1901,0)</f>
        <v>0</v>
      </c>
      <c r="BG1901" s="2194">
        <f>IF(N1901="zákl. přenesená",J1901,0)</f>
        <v>0</v>
      </c>
      <c r="BH1901" s="2194">
        <f>IF(N1901="sníž. přenesená",J1901,0)</f>
        <v>0</v>
      </c>
      <c r="BI1901" s="2194">
        <f>IF(N1901="nulová",J1901,0)</f>
        <v>0</v>
      </c>
      <c r="BJ1901" s="2056" t="s">
        <v>134</v>
      </c>
      <c r="BK1901" s="2194">
        <f>ROUND(I1901*H1901,2)</f>
        <v>0</v>
      </c>
      <c r="BL1901" s="2056" t="s">
        <v>2894</v>
      </c>
      <c r="BM1901" s="2193" t="s">
        <v>5814</v>
      </c>
    </row>
    <row r="1902" spans="2:65" s="2209" customFormat="1">
      <c r="B1902" s="2210"/>
      <c r="D1902" s="2197" t="s">
        <v>3303</v>
      </c>
      <c r="F1902" s="2212" t="s">
        <v>5815</v>
      </c>
      <c r="H1902" s="2213">
        <v>132.767</v>
      </c>
      <c r="L1902" s="2210"/>
      <c r="M1902" s="2231"/>
      <c r="N1902" s="2232"/>
      <c r="O1902" s="2232"/>
      <c r="P1902" s="2232"/>
      <c r="Q1902" s="2232"/>
      <c r="R1902" s="2232"/>
      <c r="S1902" s="2232"/>
      <c r="T1902" s="2233"/>
      <c r="AT1902" s="2211" t="s">
        <v>3303</v>
      </c>
      <c r="AU1902" s="2211" t="s">
        <v>134</v>
      </c>
      <c r="AV1902" s="2209" t="s">
        <v>134</v>
      </c>
      <c r="AW1902" s="2209" t="s">
        <v>3148</v>
      </c>
      <c r="AX1902" s="2209" t="s">
        <v>133</v>
      </c>
      <c r="AY1902" s="2211" t="s">
        <v>3285</v>
      </c>
    </row>
    <row r="1903" spans="2:65" s="2070" customFormat="1" ht="6.95" customHeight="1">
      <c r="B1903" s="2084"/>
      <c r="C1903" s="2085"/>
      <c r="D1903" s="2085"/>
      <c r="E1903" s="2085"/>
      <c r="F1903" s="2085"/>
      <c r="G1903" s="2085"/>
      <c r="H1903" s="2085"/>
      <c r="I1903" s="2085"/>
      <c r="J1903" s="2085"/>
      <c r="K1903" s="2085"/>
      <c r="L1903" s="2071"/>
    </row>
  </sheetData>
  <autoFilter ref="C147:K1902" xr:uid="{00000000-0009-0000-0000-000003000000}"/>
  <mergeCells count="105">
    <mergeCell ref="I1549:J1549"/>
    <mergeCell ref="I1569:J1569"/>
    <mergeCell ref="I1892:J1892"/>
    <mergeCell ref="I1298:J1298"/>
    <mergeCell ref="I1584:J1584"/>
    <mergeCell ref="I1510:J1510"/>
    <mergeCell ref="I1517:J1517"/>
    <mergeCell ref="I1521:J1521"/>
    <mergeCell ref="I1526:J1526"/>
    <mergeCell ref="I1547:J1547"/>
    <mergeCell ref="I1414:J1414"/>
    <mergeCell ref="I1452:J1452"/>
    <mergeCell ref="I1491:J1491"/>
    <mergeCell ref="I1502:J1502"/>
    <mergeCell ref="I1382:J1382"/>
    <mergeCell ref="I1383:J1383"/>
    <mergeCell ref="I1389:J1389"/>
    <mergeCell ref="I1390:J1390"/>
    <mergeCell ref="I1393:J1393"/>
    <mergeCell ref="I1359:J1359"/>
    <mergeCell ref="I1365:J1365"/>
    <mergeCell ref="I1371:J1371"/>
    <mergeCell ref="I1379:J1379"/>
    <mergeCell ref="I1380:J1380"/>
    <mergeCell ref="I1314:J1314"/>
    <mergeCell ref="I1349:J1349"/>
    <mergeCell ref="I1351:J1351"/>
    <mergeCell ref="I1354:J1354"/>
    <mergeCell ref="I1358:J1358"/>
    <mergeCell ref="I1262:J1262"/>
    <mergeCell ref="I1266:J1266"/>
    <mergeCell ref="I1296:J1296"/>
    <mergeCell ref="I1297:J1297"/>
    <mergeCell ref="I1306:J1306"/>
    <mergeCell ref="I1232:J1232"/>
    <mergeCell ref="I1233:J1233"/>
    <mergeCell ref="I1243:J1243"/>
    <mergeCell ref="I1253:J1253"/>
    <mergeCell ref="I1256:J1256"/>
    <mergeCell ref="I1199:J1199"/>
    <mergeCell ref="I1209:J1209"/>
    <mergeCell ref="I1217:J1217"/>
    <mergeCell ref="I1225:J1225"/>
    <mergeCell ref="I1229:J1229"/>
    <mergeCell ref="I1175:J1175"/>
    <mergeCell ref="I1181:J1181"/>
    <mergeCell ref="I1185:J1185"/>
    <mergeCell ref="I1189:J1189"/>
    <mergeCell ref="I867:J867"/>
    <mergeCell ref="I868:J868"/>
    <mergeCell ref="I872:J872"/>
    <mergeCell ref="I1161:J1161"/>
    <mergeCell ref="I1168:J1168"/>
    <mergeCell ref="I861:J861"/>
    <mergeCell ref="I862:J862"/>
    <mergeCell ref="I863:J863"/>
    <mergeCell ref="I865:J865"/>
    <mergeCell ref="I866:J866"/>
    <mergeCell ref="I841:J841"/>
    <mergeCell ref="I842:J842"/>
    <mergeCell ref="I843:J843"/>
    <mergeCell ref="I856:J856"/>
    <mergeCell ref="I860:J860"/>
    <mergeCell ref="I832:J832"/>
    <mergeCell ref="I836:J836"/>
    <mergeCell ref="I838:J838"/>
    <mergeCell ref="I839:J839"/>
    <mergeCell ref="I813:J813"/>
    <mergeCell ref="I820:J820"/>
    <mergeCell ref="I821:J821"/>
    <mergeCell ref="I827:J827"/>
    <mergeCell ref="I828:J828"/>
    <mergeCell ref="I808:J808"/>
    <mergeCell ref="I809:J809"/>
    <mergeCell ref="I812:J812"/>
    <mergeCell ref="I774:J774"/>
    <mergeCell ref="I780:J780"/>
    <mergeCell ref="I781:J781"/>
    <mergeCell ref="I787:J787"/>
    <mergeCell ref="I793:J793"/>
    <mergeCell ref="I831:J831"/>
    <mergeCell ref="E87:H87"/>
    <mergeCell ref="L2:V2"/>
    <mergeCell ref="E7:H7"/>
    <mergeCell ref="E9:H9"/>
    <mergeCell ref="E27:H27"/>
    <mergeCell ref="E85:H85"/>
    <mergeCell ref="I1340:J1340"/>
    <mergeCell ref="I1341:J1341"/>
    <mergeCell ref="I1315:J1315"/>
    <mergeCell ref="D124:F124"/>
    <mergeCell ref="D125:F125"/>
    <mergeCell ref="D126:F126"/>
    <mergeCell ref="E138:H138"/>
    <mergeCell ref="E140:H140"/>
    <mergeCell ref="I179:J179"/>
    <mergeCell ref="I184:J184"/>
    <mergeCell ref="I185:J185"/>
    <mergeCell ref="I189:J189"/>
    <mergeCell ref="I490:J490"/>
    <mergeCell ref="I495:J495"/>
    <mergeCell ref="I496:J496"/>
    <mergeCell ref="I769:J769"/>
    <mergeCell ref="I796:J796"/>
    <mergeCell ref="I802:J80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69" t="s">
        <v>10708</v>
      </c>
      <c r="M2" s="5870"/>
      <c r="N2" s="5870"/>
      <c r="O2" s="5870"/>
      <c r="P2" s="5870"/>
      <c r="Q2" s="5870"/>
      <c r="R2" s="5870"/>
      <c r="S2" s="5870"/>
      <c r="T2" s="5870"/>
      <c r="U2" s="5870"/>
      <c r="V2" s="5870"/>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878" t="str">
        <f>'Rekapitulace stavby'!K6</f>
        <v>Dostavba domova pro seniory ve Vrchlabí - PD</v>
      </c>
      <c r="F7" s="5879"/>
      <c r="G7" s="5879"/>
      <c r="H7" s="5879"/>
      <c r="L7" s="2059"/>
    </row>
    <row r="8" spans="2:46" s="2070" customFormat="1" ht="12" customHeight="1">
      <c r="B8" s="2071"/>
      <c r="D8" s="2065" t="s">
        <v>3239</v>
      </c>
      <c r="L8" s="2071"/>
    </row>
    <row r="9" spans="2:46" s="2070" customFormat="1" ht="16.5" customHeight="1">
      <c r="B9" s="2071"/>
      <c r="E9" s="5862" t="s">
        <v>5816</v>
      </c>
      <c r="F9" s="5880"/>
      <c r="G9" s="5880"/>
      <c r="H9" s="588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73" t="s">
        <v>3146</v>
      </c>
      <c r="F27" s="5873"/>
      <c r="G27" s="5873"/>
      <c r="H27" s="587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878" t="str">
        <f>E7</f>
        <v>Dostavba domova pro seniory ve Vrchlabí - PD</v>
      </c>
      <c r="F85" s="5879"/>
      <c r="G85" s="5879"/>
      <c r="H85" s="5879"/>
      <c r="L85" s="2071"/>
    </row>
    <row r="86" spans="2:47" s="2070" customFormat="1" ht="12" customHeight="1">
      <c r="B86" s="2071"/>
      <c r="C86" s="2065" t="s">
        <v>3239</v>
      </c>
      <c r="L86" s="2071"/>
    </row>
    <row r="87" spans="2:47" s="2070" customFormat="1" ht="16.5" customHeight="1">
      <c r="B87" s="2071"/>
      <c r="E87" s="5862" t="str">
        <f>E9</f>
        <v>01.3 - Gabionové stěny</v>
      </c>
      <c r="F87" s="5880"/>
      <c r="G87" s="5880"/>
      <c r="H87" s="588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881" t="s">
        <v>24</v>
      </c>
      <c r="E108" s="5881"/>
      <c r="F108" s="5881"/>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881" t="s">
        <v>25</v>
      </c>
      <c r="E109" s="5881"/>
      <c r="F109" s="5881"/>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881" t="s">
        <v>3272</v>
      </c>
      <c r="E110" s="5881"/>
      <c r="F110" s="5881"/>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878" t="str">
        <f>E7</f>
        <v>Dostavba domova pro seniory ve Vrchlabí - PD</v>
      </c>
      <c r="F122" s="5879"/>
      <c r="G122" s="5879"/>
      <c r="H122" s="5879"/>
      <c r="L122" s="2071"/>
    </row>
    <row r="123" spans="2:12" s="2070" customFormat="1" ht="12" customHeight="1">
      <c r="B123" s="2071"/>
      <c r="C123" s="2065" t="s">
        <v>3239</v>
      </c>
      <c r="L123" s="2071"/>
    </row>
    <row r="124" spans="2:12" s="2070" customFormat="1" ht="16.5" customHeight="1">
      <c r="B124" s="2071"/>
      <c r="E124" s="5862" t="str">
        <f>E9</f>
        <v>01.3 - Gabionové stěny</v>
      </c>
      <c r="F124" s="5880"/>
      <c r="G124" s="5880"/>
      <c r="H124" s="5880"/>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5817</v>
      </c>
      <c r="F135" s="4610" t="s">
        <v>5818</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5819</v>
      </c>
    </row>
    <row r="136" spans="2:65" s="2195" customFormat="1">
      <c r="B136" s="2196"/>
      <c r="D136" s="2197" t="s">
        <v>3303</v>
      </c>
      <c r="E136" s="2198" t="s">
        <v>3146</v>
      </c>
      <c r="F136" s="2199" t="s">
        <v>5820</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5821</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5822</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5823</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5824</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5825</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5826</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5827</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5828</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5829</v>
      </c>
      <c r="F147" s="4610" t="s">
        <v>5830</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5831</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5832</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5833</v>
      </c>
    </row>
    <row r="150" spans="2:65" s="2209" customFormat="1">
      <c r="B150" s="2210"/>
      <c r="D150" s="2197" t="s">
        <v>3303</v>
      </c>
      <c r="E150" s="2211" t="s">
        <v>3146</v>
      </c>
      <c r="F150" s="2212" t="s">
        <v>5834</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5835</v>
      </c>
      <c r="F151" s="4616" t="s">
        <v>5836</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5837</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5838</v>
      </c>
    </row>
    <row r="153" spans="2:65" s="2209" customFormat="1">
      <c r="B153" s="2210"/>
      <c r="D153" s="2197" t="s">
        <v>3303</v>
      </c>
      <c r="E153" s="2211" t="s">
        <v>3146</v>
      </c>
      <c r="F153" s="2212" t="s">
        <v>5839</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5840</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5841</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5842</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5839</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5840</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5841</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5842</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5843</v>
      </c>
      <c r="F163" s="4610" t="s">
        <v>5844</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5845</v>
      </c>
    </row>
    <row r="164" spans="2:65" s="2209" customFormat="1">
      <c r="B164" s="2210"/>
      <c r="D164" s="2197" t="s">
        <v>3303</v>
      </c>
      <c r="E164" s="2211" t="s">
        <v>3146</v>
      </c>
      <c r="F164" s="2212" t="s">
        <v>5846</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5847</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5848</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5849</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5850</v>
      </c>
      <c r="F170" s="4610" t="s">
        <v>5851</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5852</v>
      </c>
    </row>
    <row r="171" spans="2:65" s="2195" customFormat="1">
      <c r="B171" s="2196"/>
      <c r="D171" s="2197" t="s">
        <v>3303</v>
      </c>
      <c r="E171" s="2198" t="s">
        <v>3146</v>
      </c>
      <c r="F171" s="2199" t="s">
        <v>5820</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5821</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5822</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5823</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5824</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5825</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5826</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5827</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5828</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5853</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5854</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5855</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5856</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5857</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5858</v>
      </c>
      <c r="F188" s="4616" t="s">
        <v>5859</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5860</v>
      </c>
    </row>
    <row r="189" spans="2:65" s="2209" customFormat="1">
      <c r="B189" s="2210"/>
      <c r="D189" s="2197" t="s">
        <v>3303</v>
      </c>
      <c r="F189" s="2212" t="s">
        <v>5861</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5862</v>
      </c>
      <c r="F191" s="4610" t="s">
        <v>5863</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5864</v>
      </c>
    </row>
    <row r="192" spans="2:65" s="2209" customFormat="1">
      <c r="B192" s="2210"/>
      <c r="D192" s="2197" t="s">
        <v>3303</v>
      </c>
      <c r="E192" s="2211" t="s">
        <v>3146</v>
      </c>
      <c r="F192" s="2212" t="s">
        <v>5821</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5865</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5823</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5866</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5825</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5867</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5827</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5868</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3921</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5869</v>
      </c>
      <c r="F202" s="4610" t="s">
        <v>5870</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5871</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5872</v>
      </c>
      <c r="F205" s="4610" t="s">
        <v>5873</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5874</v>
      </c>
    </row>
    <row r="206" spans="2:65" s="2195" customFormat="1">
      <c r="B206" s="2196"/>
      <c r="D206" s="2197" t="s">
        <v>3303</v>
      </c>
      <c r="E206" s="2198" t="s">
        <v>3146</v>
      </c>
      <c r="F206" s="2199" t="s">
        <v>5875</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5876</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5877</v>
      </c>
      <c r="F209" s="4616" t="s">
        <v>5878</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5879</v>
      </c>
    </row>
    <row r="210" spans="2:65" s="2209" customFormat="1">
      <c r="B210" s="2210"/>
      <c r="D210" s="2197" t="s">
        <v>3303</v>
      </c>
      <c r="F210" s="2212" t="s">
        <v>5880</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5881</v>
      </c>
      <c r="F211" s="4610" t="s">
        <v>5882</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5883</v>
      </c>
    </row>
    <row r="212" spans="2:65" s="2195" customFormat="1">
      <c r="B212" s="2196"/>
      <c r="D212" s="2197" t="s">
        <v>3303</v>
      </c>
      <c r="E212" s="2198" t="s">
        <v>3146</v>
      </c>
      <c r="F212" s="2199" t="s">
        <v>5884</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5885</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5886</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5887</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5888</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5889</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5890</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5891</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5892</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5877</v>
      </c>
      <c r="F222" s="4616" t="s">
        <v>5878</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5893</v>
      </c>
    </row>
    <row r="223" spans="2:65" s="2209" customFormat="1">
      <c r="B223" s="2210"/>
      <c r="D223" s="2197" t="s">
        <v>3303</v>
      </c>
      <c r="F223" s="2212" t="s">
        <v>5894</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3985</v>
      </c>
      <c r="F224" s="4610" t="s">
        <v>3986</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5895</v>
      </c>
    </row>
    <row r="225" spans="2:65" s="2195" customFormat="1">
      <c r="B225" s="2196"/>
      <c r="D225" s="2197" t="s">
        <v>3303</v>
      </c>
      <c r="E225" s="2198" t="s">
        <v>3146</v>
      </c>
      <c r="F225" s="2199" t="s">
        <v>5896</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5876</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5897</v>
      </c>
      <c r="F228" s="4616" t="s">
        <v>5898</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5899</v>
      </c>
    </row>
    <row r="229" spans="2:65" s="2209" customFormat="1">
      <c r="B229" s="2210"/>
      <c r="D229" s="2197" t="s">
        <v>3303</v>
      </c>
      <c r="F229" s="2212" t="s">
        <v>5900</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3996</v>
      </c>
      <c r="F230" s="4610" t="s">
        <v>3997</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5901</v>
      </c>
    </row>
    <row r="231" spans="2:65" s="2195" customFormat="1">
      <c r="B231" s="2196"/>
      <c r="D231" s="2197" t="s">
        <v>3303</v>
      </c>
      <c r="E231" s="2198" t="s">
        <v>3146</v>
      </c>
      <c r="F231" s="2199" t="s">
        <v>5902</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5885</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5886</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5887</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5888</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5889</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5890</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5891</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5892</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5897</v>
      </c>
      <c r="F241" s="4616" t="s">
        <v>5898</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5903</v>
      </c>
    </row>
    <row r="242" spans="2:65" s="2209" customFormat="1">
      <c r="B242" s="2210"/>
      <c r="D242" s="2197" t="s">
        <v>3303</v>
      </c>
      <c r="F242" s="2212" t="s">
        <v>5904</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4000</v>
      </c>
      <c r="F243" s="4610" t="s">
        <v>4001</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5905</v>
      </c>
    </row>
    <row r="244" spans="2:65" s="2070" customFormat="1" ht="24.2" customHeight="1">
      <c r="B244" s="2164"/>
      <c r="C244" s="4608" t="s">
        <v>989</v>
      </c>
      <c r="D244" s="4608" t="s">
        <v>3286</v>
      </c>
      <c r="E244" s="4609" t="s">
        <v>4004</v>
      </c>
      <c r="F244" s="4610" t="s">
        <v>4005</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5906</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E87:H87"/>
    <mergeCell ref="L2:V2"/>
    <mergeCell ref="E7:H7"/>
    <mergeCell ref="E9:H9"/>
    <mergeCell ref="E27:H27"/>
    <mergeCell ref="E85:H85"/>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69" t="s">
        <v>10708</v>
      </c>
      <c r="M2" s="5870"/>
      <c r="N2" s="5870"/>
      <c r="O2" s="5870"/>
      <c r="P2" s="5870"/>
      <c r="Q2" s="5870"/>
      <c r="R2" s="5870"/>
      <c r="S2" s="5870"/>
      <c r="T2" s="5870"/>
      <c r="U2" s="5870"/>
      <c r="V2" s="5870"/>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878" t="str">
        <f>'Rekapitulace stavby'!K6</f>
        <v>Dostavba domova pro seniory ve Vrchlabí - PD</v>
      </c>
      <c r="F7" s="5879"/>
      <c r="G7" s="5879"/>
      <c r="H7" s="5879"/>
      <c r="L7" s="2059"/>
    </row>
    <row r="8" spans="2:46" s="2070" customFormat="1" ht="12" customHeight="1">
      <c r="B8" s="2071"/>
      <c r="D8" s="2065" t="s">
        <v>3239</v>
      </c>
      <c r="L8" s="2071"/>
    </row>
    <row r="9" spans="2:46" s="2070" customFormat="1" ht="16.5" customHeight="1">
      <c r="B9" s="2071"/>
      <c r="E9" s="5862" t="s">
        <v>5907</v>
      </c>
      <c r="F9" s="5880"/>
      <c r="G9" s="5880"/>
      <c r="H9" s="588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73" t="s">
        <v>3146</v>
      </c>
      <c r="F27" s="5873"/>
      <c r="G27" s="5873"/>
      <c r="H27" s="587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878" t="str">
        <f>E7</f>
        <v>Dostavba domova pro seniory ve Vrchlabí - PD</v>
      </c>
      <c r="F85" s="5879"/>
      <c r="G85" s="5879"/>
      <c r="H85" s="5879"/>
      <c r="L85" s="2071"/>
    </row>
    <row r="86" spans="2:47" s="2070" customFormat="1" ht="12" customHeight="1">
      <c r="B86" s="2071"/>
      <c r="C86" s="2065" t="s">
        <v>3239</v>
      </c>
      <c r="L86" s="2071"/>
    </row>
    <row r="87" spans="2:47" s="2070" customFormat="1" ht="16.5" customHeight="1">
      <c r="B87" s="2071"/>
      <c r="E87" s="5862" t="str">
        <f>E9</f>
        <v>01.4 - Opěrná stěna schodiště a rampy</v>
      </c>
      <c r="F87" s="5880"/>
      <c r="G87" s="5880"/>
      <c r="H87" s="588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4556</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881" t="s">
        <v>24</v>
      </c>
      <c r="E109" s="5881"/>
      <c r="F109" s="5881"/>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881" t="s">
        <v>25</v>
      </c>
      <c r="E110" s="5881"/>
      <c r="F110" s="5881"/>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881" t="s">
        <v>3272</v>
      </c>
      <c r="E111" s="5881"/>
      <c r="F111" s="5881"/>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878" t="str">
        <f>E7</f>
        <v>Dostavba domova pro seniory ve Vrchlabí - PD</v>
      </c>
      <c r="F123" s="5879"/>
      <c r="G123" s="5879"/>
      <c r="H123" s="5879"/>
      <c r="L123" s="2071"/>
    </row>
    <row r="124" spans="2:12" s="2070" customFormat="1" ht="12" customHeight="1">
      <c r="B124" s="2071"/>
      <c r="C124" s="2065" t="s">
        <v>3239</v>
      </c>
      <c r="L124" s="2071"/>
    </row>
    <row r="125" spans="2:12" s="2070" customFormat="1" ht="16.5" customHeight="1">
      <c r="B125" s="2071"/>
      <c r="E125" s="5862" t="str">
        <f>E9</f>
        <v>01.4 - Opěrná stěna schodiště a rampy</v>
      </c>
      <c r="F125" s="5880"/>
      <c r="G125" s="5880"/>
      <c r="H125" s="5880"/>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5908</v>
      </c>
      <c r="F136" s="4610" t="s">
        <v>5909</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5910</v>
      </c>
    </row>
    <row r="137" spans="2:65" s="2195" customFormat="1">
      <c r="B137" s="2196"/>
      <c r="D137" s="2197" t="s">
        <v>3303</v>
      </c>
      <c r="E137" s="2198" t="s">
        <v>3146</v>
      </c>
      <c r="F137" s="2199" t="s">
        <v>5911</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5912</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5913</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5914</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5915</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5916</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5917</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5918</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5919</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5920</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5921</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5922</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5923</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5924</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5925</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5926</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5927</v>
      </c>
      <c r="F159" s="4610" t="s">
        <v>5928</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5929</v>
      </c>
    </row>
    <row r="160" spans="2:65" s="2070" customFormat="1" ht="37.9" customHeight="1">
      <c r="B160" s="2164"/>
      <c r="C160" s="4608" t="s">
        <v>854</v>
      </c>
      <c r="D160" s="4608" t="s">
        <v>3286</v>
      </c>
      <c r="E160" s="4609" t="s">
        <v>5829</v>
      </c>
      <c r="F160" s="4610" t="s">
        <v>5830</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5930</v>
      </c>
    </row>
    <row r="161" spans="2:65" s="2209" customFormat="1">
      <c r="B161" s="2210"/>
      <c r="D161" s="2197" t="s">
        <v>3303</v>
      </c>
      <c r="E161" s="2211" t="s">
        <v>3146</v>
      </c>
      <c r="F161" s="2212" t="s">
        <v>5931</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5932</v>
      </c>
      <c r="F163" s="4610" t="s">
        <v>5933</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5934</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5935</v>
      </c>
    </row>
    <row r="165" spans="2:65" s="2209" customFormat="1">
      <c r="B165" s="2210"/>
      <c r="D165" s="2197" t="s">
        <v>3303</v>
      </c>
      <c r="E165" s="2211" t="s">
        <v>3146</v>
      </c>
      <c r="F165" s="2212" t="s">
        <v>5936</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5937</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5938</v>
      </c>
      <c r="F167" s="4610" t="s">
        <v>5939</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5940</v>
      </c>
    </row>
    <row r="168" spans="2:65" s="2209" customFormat="1">
      <c r="B168" s="2210"/>
      <c r="D168" s="2197" t="s">
        <v>3303</v>
      </c>
      <c r="E168" s="2211" t="s">
        <v>3146</v>
      </c>
      <c r="F168" s="2212" t="s">
        <v>5941</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5843</v>
      </c>
      <c r="F170" s="4610" t="s">
        <v>5844</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5942</v>
      </c>
    </row>
    <row r="171" spans="2:65" s="2195" customFormat="1">
      <c r="B171" s="2196"/>
      <c r="D171" s="2197" t="s">
        <v>3303</v>
      </c>
      <c r="E171" s="2198" t="s">
        <v>3146</v>
      </c>
      <c r="F171" s="2199" t="s">
        <v>5911</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5912</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5911</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5943</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5913</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5944</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5945</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5946</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5947</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5948</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5949</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5919</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5950</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5951</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5952</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5953</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5954</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5955</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5956</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5957</v>
      </c>
    </row>
    <row r="198" spans="2:65" s="2209" customFormat="1">
      <c r="B198" s="2210"/>
      <c r="D198" s="2197" t="s">
        <v>3303</v>
      </c>
      <c r="E198" s="2211" t="s">
        <v>3146</v>
      </c>
      <c r="F198" s="2212" t="s">
        <v>5958</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5959</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5960</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5961</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5962</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5963</v>
      </c>
      <c r="F204" s="4610" t="s">
        <v>5964</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5965</v>
      </c>
    </row>
    <row r="205" spans="2:65" s="2209" customFormat="1">
      <c r="B205" s="2210"/>
      <c r="D205" s="2197" t="s">
        <v>3303</v>
      </c>
      <c r="E205" s="2211" t="s">
        <v>3146</v>
      </c>
      <c r="F205" s="2212" t="s">
        <v>5966</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5967</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5968</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5969</v>
      </c>
    </row>
    <row r="210" spans="2:65" s="2209" customFormat="1">
      <c r="B210" s="2210"/>
      <c r="D210" s="2197" t="s">
        <v>3303</v>
      </c>
      <c r="E210" s="2211" t="s">
        <v>3146</v>
      </c>
      <c r="F210" s="2212" t="s">
        <v>5970</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5971</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5972</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5973</v>
      </c>
    </row>
    <row r="215" spans="2:65" s="2070" customFormat="1" ht="21.75" customHeight="1">
      <c r="B215" s="2164"/>
      <c r="C215" s="4608" t="s">
        <v>874</v>
      </c>
      <c r="D215" s="4608" t="s">
        <v>3286</v>
      </c>
      <c r="E215" s="4609" t="s">
        <v>5974</v>
      </c>
      <c r="F215" s="4610" t="s">
        <v>5975</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5976</v>
      </c>
    </row>
    <row r="216" spans="2:65" s="2209" customFormat="1">
      <c r="B216" s="2210"/>
      <c r="D216" s="2197" t="s">
        <v>3303</v>
      </c>
      <c r="E216" s="2211" t="s">
        <v>3146</v>
      </c>
      <c r="F216" s="2212" t="s">
        <v>5977</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5978</v>
      </c>
      <c r="F218" s="4610" t="s">
        <v>5979</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5980</v>
      </c>
    </row>
    <row r="219" spans="2:65" s="2209" customFormat="1">
      <c r="B219" s="2210"/>
      <c r="D219" s="2197" t="s">
        <v>3303</v>
      </c>
      <c r="E219" s="2211" t="s">
        <v>3146</v>
      </c>
      <c r="F219" s="2212" t="s">
        <v>5981</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5982</v>
      </c>
    </row>
    <row r="222" spans="2:65" s="2209" customFormat="1">
      <c r="B222" s="2210"/>
      <c r="D222" s="2197" t="s">
        <v>3303</v>
      </c>
      <c r="E222" s="2211" t="s">
        <v>3146</v>
      </c>
      <c r="F222" s="2212" t="s">
        <v>5983</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5984</v>
      </c>
      <c r="F224" s="4610" t="s">
        <v>5985</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5986</v>
      </c>
    </row>
    <row r="225" spans="2:65" s="2070" customFormat="1" ht="21.75" customHeight="1">
      <c r="B225" s="2164"/>
      <c r="C225" s="5561" t="s">
        <v>892</v>
      </c>
      <c r="D225" s="5561" t="s">
        <v>3286</v>
      </c>
      <c r="E225" s="5567" t="s">
        <v>11669</v>
      </c>
      <c r="F225" s="5566" t="s">
        <v>11670</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5976</v>
      </c>
    </row>
    <row r="226" spans="2:65" s="2209" customFormat="1">
      <c r="B226" s="2210"/>
      <c r="D226" s="2197" t="s">
        <v>3303</v>
      </c>
      <c r="E226" s="2211" t="s">
        <v>3146</v>
      </c>
      <c r="F226" s="5560" t="s">
        <v>11690</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5987</v>
      </c>
      <c r="F228" s="4610" t="s">
        <v>5988</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5989</v>
      </c>
    </row>
    <row r="229" spans="2:65" s="2209" customFormat="1">
      <c r="B229" s="2210"/>
      <c r="D229" s="2197" t="s">
        <v>3303</v>
      </c>
      <c r="E229" s="2211" t="s">
        <v>3146</v>
      </c>
      <c r="F229" s="2212" t="s">
        <v>5925</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5990</v>
      </c>
    </row>
    <row r="232" spans="2:65" s="2209" customFormat="1">
      <c r="B232" s="2210"/>
      <c r="D232" s="2197" t="s">
        <v>3303</v>
      </c>
      <c r="E232" s="2211" t="s">
        <v>3146</v>
      </c>
      <c r="F232" s="2212" t="s">
        <v>5991</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5992</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5976</v>
      </c>
    </row>
    <row r="235" spans="2:65" s="2209" customFormat="1">
      <c r="B235" s="2210"/>
      <c r="D235" s="2197" t="s">
        <v>3303</v>
      </c>
      <c r="E235" s="2211" t="s">
        <v>3146</v>
      </c>
      <c r="F235" s="5560" t="s">
        <v>11671</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5993</v>
      </c>
      <c r="F238" s="4610" t="s">
        <v>5994</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5995</v>
      </c>
    </row>
    <row r="239" spans="2:65" s="2209" customFormat="1">
      <c r="B239" s="2210"/>
      <c r="D239" s="2197" t="s">
        <v>3303</v>
      </c>
      <c r="E239" s="2211" t="s">
        <v>3146</v>
      </c>
      <c r="F239" s="2212" t="s">
        <v>5996</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5997</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5998</v>
      </c>
      <c r="F242" s="4610" t="s">
        <v>5999</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6000</v>
      </c>
    </row>
    <row r="243" spans="2:65" s="2195" customFormat="1">
      <c r="B243" s="2196"/>
      <c r="D243" s="2197" t="s">
        <v>3303</v>
      </c>
      <c r="E243" s="2198" t="s">
        <v>3146</v>
      </c>
      <c r="F243" s="2199" t="s">
        <v>6001</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6002</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6003</v>
      </c>
      <c r="F246" s="4610" t="s">
        <v>6004</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6005</v>
      </c>
    </row>
    <row r="247" spans="2:65" s="2209" customFormat="1">
      <c r="B247" s="2210"/>
      <c r="D247" s="2197" t="s">
        <v>3303</v>
      </c>
      <c r="E247" s="2211" t="s">
        <v>3146</v>
      </c>
      <c r="F247" s="2212" t="s">
        <v>6006</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6007</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6008</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6009</v>
      </c>
      <c r="F251" s="4610" t="s">
        <v>6010</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6011</v>
      </c>
    </row>
    <row r="252" spans="2:65" s="2070" customFormat="1" ht="24.2" customHeight="1">
      <c r="B252" s="2164"/>
      <c r="C252" s="4608" t="s">
        <v>1220</v>
      </c>
      <c r="D252" s="4608" t="s">
        <v>3286</v>
      </c>
      <c r="E252" s="4609" t="s">
        <v>6012</v>
      </c>
      <c r="F252" s="4610" t="s">
        <v>6013</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6014</v>
      </c>
    </row>
    <row r="253" spans="2:65" s="2209" customFormat="1">
      <c r="B253" s="2210"/>
      <c r="D253" s="2197" t="s">
        <v>3303</v>
      </c>
      <c r="E253" s="2211" t="s">
        <v>3146</v>
      </c>
      <c r="F253" s="2212" t="s">
        <v>6006</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6007</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6015</v>
      </c>
      <c r="F256" s="4610" t="s">
        <v>6016</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6017</v>
      </c>
    </row>
    <row r="257" spans="2:65" s="2209" customFormat="1">
      <c r="B257" s="2210"/>
      <c r="D257" s="2197" t="s">
        <v>3303</v>
      </c>
      <c r="E257" s="2211" t="s">
        <v>3146</v>
      </c>
      <c r="F257" s="2212" t="s">
        <v>6018</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6019</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4602</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6020</v>
      </c>
      <c r="F261" s="4610" t="s">
        <v>6021</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6022</v>
      </c>
    </row>
    <row r="262" spans="2:65" s="2209" customFormat="1">
      <c r="B262" s="2210"/>
      <c r="D262" s="2197" t="s">
        <v>3303</v>
      </c>
      <c r="E262" s="2211" t="s">
        <v>3146</v>
      </c>
      <c r="F262" s="2212" t="s">
        <v>6023</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6024</v>
      </c>
      <c r="F264" s="4610" t="s">
        <v>6025</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6026</v>
      </c>
    </row>
    <row r="265" spans="2:65" s="2070" customFormat="1" ht="37.9" customHeight="1">
      <c r="B265" s="2164"/>
      <c r="C265" s="4608" t="s">
        <v>2527</v>
      </c>
      <c r="D265" s="4608" t="s">
        <v>3286</v>
      </c>
      <c r="E265" s="4609" t="s">
        <v>6027</v>
      </c>
      <c r="F265" s="4610" t="s">
        <v>6028</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6029</v>
      </c>
    </row>
    <row r="266" spans="2:65" s="2209" customFormat="1">
      <c r="B266" s="2210"/>
      <c r="D266" s="2197" t="s">
        <v>3303</v>
      </c>
      <c r="E266" s="2211" t="s">
        <v>3146</v>
      </c>
      <c r="F266" s="2212" t="s">
        <v>6030</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6030</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6031</v>
      </c>
      <c r="F269" s="4610" t="s">
        <v>6032</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6033</v>
      </c>
    </row>
    <row r="270" spans="2:65" s="2070" customFormat="1" ht="37.9" customHeight="1">
      <c r="B270" s="2164"/>
      <c r="C270" s="4608" t="s">
        <v>2366</v>
      </c>
      <c r="D270" s="4608" t="s">
        <v>3286</v>
      </c>
      <c r="E270" s="4609" t="s">
        <v>6034</v>
      </c>
      <c r="F270" s="4610" t="s">
        <v>6035</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6036</v>
      </c>
    </row>
    <row r="271" spans="2:65" s="2070" customFormat="1" ht="24.2" customHeight="1">
      <c r="B271" s="2164"/>
      <c r="C271" s="4608" t="s">
        <v>3382</v>
      </c>
      <c r="D271" s="4608" t="s">
        <v>3286</v>
      </c>
      <c r="E271" s="4609" t="s">
        <v>6037</v>
      </c>
      <c r="F271" s="4610" t="s">
        <v>6038</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6039</v>
      </c>
    </row>
    <row r="272" spans="2:65" s="2209" customFormat="1">
      <c r="B272" s="2210"/>
      <c r="D272" s="2197" t="s">
        <v>3303</v>
      </c>
      <c r="E272" s="2211" t="s">
        <v>3146</v>
      </c>
      <c r="F272" s="2212" t="s">
        <v>6040</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3921</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6041</v>
      </c>
      <c r="F275" s="4610" t="s">
        <v>6042</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6043</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6044</v>
      </c>
      <c r="F278" s="4610" t="s">
        <v>6045</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6046</v>
      </c>
    </row>
    <row r="279" spans="2:65" s="2209" customFormat="1">
      <c r="B279" s="2210"/>
      <c r="D279" s="2197" t="s">
        <v>3303</v>
      </c>
      <c r="E279" s="2211" t="s">
        <v>3146</v>
      </c>
      <c r="F279" s="2212" t="s">
        <v>6047</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6048</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4687</v>
      </c>
      <c r="F282" s="4616" t="s">
        <v>4688</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6049</v>
      </c>
    </row>
    <row r="283" spans="2:65" s="2209" customFormat="1">
      <c r="B283" s="2210"/>
      <c r="D283" s="2197" t="s">
        <v>3303</v>
      </c>
      <c r="F283" s="2212" t="s">
        <v>6050</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6051</v>
      </c>
      <c r="F284" s="4610" t="s">
        <v>6052</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6053</v>
      </c>
    </row>
    <row r="285" spans="2:65" s="2209" customFormat="1">
      <c r="B285" s="2210"/>
      <c r="D285" s="2197" t="s">
        <v>3303</v>
      </c>
      <c r="E285" s="2211" t="s">
        <v>3146</v>
      </c>
      <c r="F285" s="2212" t="s">
        <v>6054</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6055</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4687</v>
      </c>
      <c r="F288" s="4616" t="s">
        <v>4688</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6056</v>
      </c>
    </row>
    <row r="289" spans="2:65" s="2209" customFormat="1">
      <c r="B289" s="2210"/>
      <c r="D289" s="2197" t="s">
        <v>3303</v>
      </c>
      <c r="F289" s="2212" t="s">
        <v>6057</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6058</v>
      </c>
      <c r="F290" s="4610" t="s">
        <v>6059</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6060</v>
      </c>
    </row>
    <row r="291" spans="2:65" s="2209" customFormat="1">
      <c r="B291" s="2210"/>
      <c r="D291" s="2197" t="s">
        <v>3303</v>
      </c>
      <c r="E291" s="2211" t="s">
        <v>3146</v>
      </c>
      <c r="F291" s="2212" t="s">
        <v>6047</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6048</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6061</v>
      </c>
      <c r="F294" s="4616" t="s">
        <v>6062</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6063</v>
      </c>
    </row>
    <row r="295" spans="2:65" s="2209" customFormat="1">
      <c r="B295" s="2210"/>
      <c r="D295" s="2197" t="s">
        <v>3303</v>
      </c>
      <c r="F295" s="2212" t="s">
        <v>6064</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6065</v>
      </c>
      <c r="F296" s="4610" t="s">
        <v>6066</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6067</v>
      </c>
    </row>
    <row r="297" spans="2:65" s="2070" customFormat="1" ht="37.9" customHeight="1">
      <c r="B297" s="2164"/>
      <c r="C297" s="4614" t="s">
        <v>2605</v>
      </c>
      <c r="D297" s="4614" t="s">
        <v>135</v>
      </c>
      <c r="E297" s="4615" t="s">
        <v>6061</v>
      </c>
      <c r="F297" s="4616" t="s">
        <v>6062</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6068</v>
      </c>
    </row>
    <row r="298" spans="2:65" s="2209" customFormat="1">
      <c r="B298" s="2210"/>
      <c r="D298" s="2197" t="s">
        <v>3303</v>
      </c>
      <c r="F298" s="2212" t="s">
        <v>6069</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6070</v>
      </c>
      <c r="F299" s="4610" t="s">
        <v>6071</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6072</v>
      </c>
    </row>
    <row r="300" spans="2:65" s="2070" customFormat="1" ht="24.2" customHeight="1">
      <c r="B300" s="2164"/>
      <c r="C300" s="4608" t="s">
        <v>3424</v>
      </c>
      <c r="D300" s="4608" t="s">
        <v>3286</v>
      </c>
      <c r="E300" s="4609" t="s">
        <v>4000</v>
      </c>
      <c r="F300" s="4610" t="s">
        <v>4001</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6073</v>
      </c>
    </row>
    <row r="301" spans="2:65" s="2070" customFormat="1" ht="24.2" customHeight="1">
      <c r="B301" s="2164"/>
      <c r="C301" s="4608" t="s">
        <v>2645</v>
      </c>
      <c r="D301" s="4608" t="s">
        <v>3286</v>
      </c>
      <c r="E301" s="4609" t="s">
        <v>4004</v>
      </c>
      <c r="F301" s="4610" t="s">
        <v>4005</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6074</v>
      </c>
    </row>
    <row r="302" spans="2:65" s="2178" customFormat="1" ht="22.9" customHeight="1">
      <c r="B302" s="2179"/>
      <c r="D302" s="2180" t="s">
        <v>3212</v>
      </c>
      <c r="E302" s="2188" t="s">
        <v>4159</v>
      </c>
      <c r="F302" s="2188" t="s">
        <v>4160</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6075</v>
      </c>
      <c r="F303" s="4610" t="s">
        <v>6076</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6077</v>
      </c>
    </row>
    <row r="304" spans="2:65" s="2209" customFormat="1">
      <c r="B304" s="2210"/>
      <c r="D304" s="2197" t="s">
        <v>3303</v>
      </c>
      <c r="E304" s="2211" t="s">
        <v>3146</v>
      </c>
      <c r="F304" s="2212" t="s">
        <v>6078</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6079</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6080</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6081</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6082</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6083</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6084</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6085</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6086</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6087</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6088</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6089</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6090</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E87:H87"/>
    <mergeCell ref="L2:V2"/>
    <mergeCell ref="E7:H7"/>
    <mergeCell ref="E9:H9"/>
    <mergeCell ref="E27:H27"/>
    <mergeCell ref="E85:H85"/>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69" t="s">
        <v>10708</v>
      </c>
      <c r="M2" s="5870"/>
      <c r="N2" s="5870"/>
      <c r="O2" s="5870"/>
      <c r="P2" s="5870"/>
      <c r="Q2" s="5870"/>
      <c r="R2" s="5870"/>
      <c r="S2" s="5870"/>
      <c r="T2" s="5870"/>
      <c r="U2" s="5870"/>
      <c r="V2" s="5870"/>
      <c r="AT2" s="2056" t="s">
        <v>10711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878" t="str">
        <f>'Rekapitulace stavby'!K6</f>
        <v>Dostavba domova pro seniory ve Vrchlabí - PD</v>
      </c>
      <c r="F7" s="5879"/>
      <c r="G7" s="5879"/>
      <c r="H7" s="5879"/>
      <c r="L7" s="2059"/>
    </row>
    <row r="8" spans="2:46" s="2070" customFormat="1" ht="12" customHeight="1">
      <c r="B8" s="2071"/>
      <c r="D8" s="2065" t="s">
        <v>3239</v>
      </c>
      <c r="L8" s="2071"/>
    </row>
    <row r="9" spans="2:46" s="2070" customFormat="1" ht="16.5" customHeight="1">
      <c r="B9" s="2071"/>
      <c r="E9" s="5862" t="s">
        <v>11543</v>
      </c>
      <c r="F9" s="5880"/>
      <c r="G9" s="5880"/>
      <c r="H9" s="588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73" t="s">
        <v>3146</v>
      </c>
      <c r="F27" s="5873"/>
      <c r="G27" s="5873"/>
      <c r="H27" s="587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878" t="str">
        <f>E7</f>
        <v>Dostavba domova pro seniory ve Vrchlabí - PD</v>
      </c>
      <c r="F85" s="5879"/>
      <c r="G85" s="5879"/>
      <c r="H85" s="5879"/>
      <c r="L85" s="2071"/>
    </row>
    <row r="86" spans="2:47" s="2070" customFormat="1" ht="12" customHeight="1">
      <c r="B86" s="2071"/>
      <c r="C86" s="2065" t="s">
        <v>3239</v>
      </c>
      <c r="L86" s="2071"/>
    </row>
    <row r="87" spans="2:47" s="2070" customFormat="1" ht="16.5" customHeight="1">
      <c r="B87" s="2071"/>
      <c r="E87" s="5862" t="str">
        <f>E9</f>
        <v>01.5 - Náklady související se stávajícím objektem</v>
      </c>
      <c r="F87" s="5880"/>
      <c r="G87" s="5880"/>
      <c r="H87" s="588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881" t="s">
        <v>24</v>
      </c>
      <c r="E101" s="5881"/>
      <c r="F101" s="5881"/>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881" t="s">
        <v>25</v>
      </c>
      <c r="E102" s="5881"/>
      <c r="F102" s="5881"/>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881" t="s">
        <v>3272</v>
      </c>
      <c r="E103" s="5881"/>
      <c r="F103" s="5881"/>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878" t="str">
        <f>E7</f>
        <v>Dostavba domova pro seniory ve Vrchlabí - PD</v>
      </c>
      <c r="F115" s="5879"/>
      <c r="G115" s="5879"/>
      <c r="H115" s="5879"/>
      <c r="L115" s="2071"/>
    </row>
    <row r="116" spans="2:65" s="2070" customFormat="1" ht="12" customHeight="1">
      <c r="B116" s="2071"/>
      <c r="C116" s="2065" t="s">
        <v>3239</v>
      </c>
      <c r="L116" s="2071"/>
    </row>
    <row r="117" spans="2:65" s="2070" customFormat="1" ht="16.5" customHeight="1">
      <c r="B117" s="2071"/>
      <c r="E117" s="5862" t="str">
        <f>E9</f>
        <v>01.5 - Náklady související se stávajícím objektem</v>
      </c>
      <c r="F117" s="5880"/>
      <c r="G117" s="5880"/>
      <c r="H117" s="5880"/>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11544</v>
      </c>
    </row>
    <row r="128" spans="2:65" s="2070" customFormat="1" ht="13.5" customHeight="1">
      <c r="B128" s="2164"/>
      <c r="C128" s="5561"/>
      <c r="D128" s="4608"/>
      <c r="E128" s="4609"/>
      <c r="F128" s="5563" t="s">
        <v>11617</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11683</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11684</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6091</v>
      </c>
      <c r="H4" s="2059"/>
    </row>
    <row r="5" spans="2:8" ht="12" customHeight="1">
      <c r="B5" s="2059"/>
      <c r="C5" s="2062" t="s">
        <v>3154</v>
      </c>
      <c r="D5" s="5873" t="s">
        <v>3155</v>
      </c>
      <c r="E5" s="5870"/>
      <c r="F5" s="5870"/>
      <c r="H5" s="2059"/>
    </row>
    <row r="6" spans="2:8" ht="36.950000000000003" customHeight="1">
      <c r="B6" s="2059"/>
      <c r="C6" s="2064" t="s">
        <v>3156</v>
      </c>
      <c r="D6" s="5872" t="s">
        <v>3157</v>
      </c>
      <c r="E6" s="5870"/>
      <c r="F6" s="5870"/>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6092</v>
      </c>
      <c r="H9" s="2170"/>
    </row>
    <row r="10" spans="2:8" s="2070" customFormat="1" ht="26.45" customHeight="1">
      <c r="B10" s="2071"/>
      <c r="C10" s="2237" t="s">
        <v>6093</v>
      </c>
      <c r="D10" s="2237" t="s">
        <v>3223</v>
      </c>
      <c r="H10" s="2071"/>
    </row>
    <row r="11" spans="2:8" s="2070" customFormat="1" ht="16.899999999999999" customHeight="1">
      <c r="B11" s="2071"/>
      <c r="C11" s="2238" t="s">
        <v>4253</v>
      </c>
      <c r="D11" s="2239" t="s">
        <v>4254</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6094</v>
      </c>
      <c r="E13" s="2056" t="s">
        <v>3146</v>
      </c>
      <c r="F13" s="2243">
        <v>311.93</v>
      </c>
      <c r="H13" s="2071"/>
    </row>
    <row r="14" spans="2:8" s="2070" customFormat="1" ht="16.899999999999999" customHeight="1">
      <c r="B14" s="2071"/>
      <c r="C14" s="2242" t="s">
        <v>3146</v>
      </c>
      <c r="D14" s="2242" t="s">
        <v>6095</v>
      </c>
      <c r="E14" s="2056" t="s">
        <v>3146</v>
      </c>
      <c r="F14" s="2243">
        <v>2.016</v>
      </c>
      <c r="H14" s="2071"/>
    </row>
    <row r="15" spans="2:8" s="2070" customFormat="1" ht="16.899999999999999" customHeight="1">
      <c r="B15" s="2071"/>
      <c r="C15" s="2242" t="s">
        <v>3146</v>
      </c>
      <c r="D15" s="2242" t="s">
        <v>6096</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6097</v>
      </c>
      <c r="H17" s="2071"/>
    </row>
    <row r="18" spans="2:8" s="2070" customFormat="1" ht="16.899999999999999" customHeight="1">
      <c r="B18" s="2071"/>
      <c r="C18" s="2242" t="s">
        <v>4290</v>
      </c>
      <c r="D18" s="2242" t="s">
        <v>4291</v>
      </c>
      <c r="E18" s="2056" t="s">
        <v>611</v>
      </c>
      <c r="F18" s="2243">
        <v>3237.2759999999998</v>
      </c>
      <c r="H18" s="2071"/>
    </row>
    <row r="19" spans="2:8" s="2070" customFormat="1" ht="16.899999999999999" customHeight="1">
      <c r="B19" s="2071"/>
      <c r="C19" s="2242" t="s">
        <v>4294</v>
      </c>
      <c r="D19" s="2242" t="s">
        <v>4295</v>
      </c>
      <c r="E19" s="2056" t="s">
        <v>611</v>
      </c>
      <c r="F19" s="2243">
        <v>19397.527999999998</v>
      </c>
      <c r="H19" s="2071"/>
    </row>
    <row r="20" spans="2:8" s="2070" customFormat="1" ht="22.5">
      <c r="B20" s="2071"/>
      <c r="C20" s="2242" t="s">
        <v>4309</v>
      </c>
      <c r="D20" s="2242" t="s">
        <v>4310</v>
      </c>
      <c r="E20" s="2056" t="s">
        <v>141</v>
      </c>
      <c r="F20" s="2243">
        <v>848.3</v>
      </c>
      <c r="H20" s="2071"/>
    </row>
    <row r="21" spans="2:8" s="2070" customFormat="1" ht="16.899999999999999" customHeight="1">
      <c r="B21" s="2071"/>
      <c r="C21" s="2242" t="s">
        <v>4361</v>
      </c>
      <c r="D21" s="2242" t="s">
        <v>4362</v>
      </c>
      <c r="E21" s="2056" t="s">
        <v>611</v>
      </c>
      <c r="F21" s="2243">
        <v>942.55600000000004</v>
      </c>
      <c r="H21" s="2071"/>
    </row>
    <row r="22" spans="2:8" s="2070" customFormat="1" ht="16.899999999999999" customHeight="1">
      <c r="B22" s="2071"/>
      <c r="C22" s="2242" t="s">
        <v>4370</v>
      </c>
      <c r="D22" s="2242" t="s">
        <v>4371</v>
      </c>
      <c r="E22" s="2056" t="s">
        <v>611</v>
      </c>
      <c r="F22" s="2243">
        <v>3237.2759999999998</v>
      </c>
      <c r="H22" s="2071"/>
    </row>
    <row r="23" spans="2:8" s="2070" customFormat="1" ht="16.899999999999999" customHeight="1">
      <c r="B23" s="2071"/>
      <c r="C23" s="2242" t="s">
        <v>4385</v>
      </c>
      <c r="D23" s="2242" t="s">
        <v>4386</v>
      </c>
      <c r="E23" s="2056" t="s">
        <v>611</v>
      </c>
      <c r="F23" s="2243">
        <v>726.98599999999999</v>
      </c>
      <c r="H23" s="2071"/>
    </row>
    <row r="24" spans="2:8" s="2070" customFormat="1" ht="22.5">
      <c r="B24" s="2071"/>
      <c r="C24" s="2242" t="s">
        <v>4408</v>
      </c>
      <c r="D24" s="2242" t="s">
        <v>4409</v>
      </c>
      <c r="E24" s="2056" t="s">
        <v>611</v>
      </c>
      <c r="F24" s="2243">
        <v>726.98599999999999</v>
      </c>
      <c r="H24" s="2071"/>
    </row>
    <row r="25" spans="2:8" s="2070" customFormat="1" ht="16.899999999999999" customHeight="1">
      <c r="B25" s="2071"/>
      <c r="C25" s="2242" t="s">
        <v>4364</v>
      </c>
      <c r="D25" s="2242" t="s">
        <v>4365</v>
      </c>
      <c r="E25" s="2056" t="s">
        <v>221</v>
      </c>
      <c r="F25" s="2243">
        <v>217.73</v>
      </c>
      <c r="H25" s="2071"/>
    </row>
    <row r="26" spans="2:8" s="2070" customFormat="1" ht="16.899999999999999" customHeight="1">
      <c r="B26" s="2071"/>
      <c r="C26" s="2238" t="s">
        <v>4278</v>
      </c>
      <c r="D26" s="2239" t="s">
        <v>4279</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6098</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6098</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6097</v>
      </c>
      <c r="H34" s="2071"/>
    </row>
    <row r="35" spans="2:8" s="2070" customFormat="1" ht="16.899999999999999" customHeight="1">
      <c r="B35" s="2071"/>
      <c r="C35" s="2242" t="s">
        <v>4290</v>
      </c>
      <c r="D35" s="2242" t="s">
        <v>4291</v>
      </c>
      <c r="E35" s="2056" t="s">
        <v>611</v>
      </c>
      <c r="F35" s="2243">
        <v>3237.2759999999998</v>
      </c>
      <c r="H35" s="2071"/>
    </row>
    <row r="36" spans="2:8" s="2070" customFormat="1" ht="16.899999999999999" customHeight="1">
      <c r="B36" s="2071"/>
      <c r="C36" s="2242" t="s">
        <v>4294</v>
      </c>
      <c r="D36" s="2242" t="s">
        <v>4295</v>
      </c>
      <c r="E36" s="2056" t="s">
        <v>611</v>
      </c>
      <c r="F36" s="2243">
        <v>19397.527999999998</v>
      </c>
      <c r="H36" s="2071"/>
    </row>
    <row r="37" spans="2:8" s="2070" customFormat="1" ht="22.5">
      <c r="B37" s="2071"/>
      <c r="C37" s="2242" t="s">
        <v>4305</v>
      </c>
      <c r="D37" s="2242" t="s">
        <v>4306</v>
      </c>
      <c r="E37" s="2056" t="s">
        <v>141</v>
      </c>
      <c r="F37" s="2243">
        <v>1950.5119999999999</v>
      </c>
      <c r="H37" s="2071"/>
    </row>
    <row r="38" spans="2:8" s="2070" customFormat="1" ht="16.899999999999999" customHeight="1">
      <c r="B38" s="2071"/>
      <c r="C38" s="2242" t="s">
        <v>4350</v>
      </c>
      <c r="D38" s="2242" t="s">
        <v>4351</v>
      </c>
      <c r="E38" s="2056" t="s">
        <v>611</v>
      </c>
      <c r="F38" s="2243">
        <v>4589.4399999999996</v>
      </c>
      <c r="H38" s="2071"/>
    </row>
    <row r="39" spans="2:8" s="2070" customFormat="1" ht="16.899999999999999" customHeight="1">
      <c r="B39" s="2071"/>
      <c r="C39" s="2242" t="s">
        <v>4370</v>
      </c>
      <c r="D39" s="2242" t="s">
        <v>4371</v>
      </c>
      <c r="E39" s="2056" t="s">
        <v>611</v>
      </c>
      <c r="F39" s="2243">
        <v>3237.2759999999998</v>
      </c>
      <c r="H39" s="2071"/>
    </row>
    <row r="40" spans="2:8" s="2070" customFormat="1" ht="16.899999999999999" customHeight="1">
      <c r="B40" s="2071"/>
      <c r="C40" s="2242" t="s">
        <v>11015</v>
      </c>
      <c r="D40" s="2242" t="s">
        <v>11016</v>
      </c>
      <c r="E40" s="2056" t="s">
        <v>611</v>
      </c>
      <c r="F40" s="2243">
        <v>1944.22</v>
      </c>
      <c r="H40" s="2071"/>
    </row>
    <row r="41" spans="2:8" s="2070" customFormat="1" ht="16.899999999999999" customHeight="1">
      <c r="B41" s="2071"/>
      <c r="C41" s="2242" t="s">
        <v>4358</v>
      </c>
      <c r="D41" s="2242" t="s">
        <v>4359</v>
      </c>
      <c r="E41" s="2056" t="s">
        <v>611</v>
      </c>
      <c r="F41" s="2243">
        <v>2409.4560000000001</v>
      </c>
      <c r="H41" s="2071"/>
    </row>
    <row r="42" spans="2:8" s="2070" customFormat="1" ht="16.899999999999999" customHeight="1">
      <c r="B42" s="2071"/>
      <c r="C42" s="2242" t="s">
        <v>4354</v>
      </c>
      <c r="D42" s="2242" t="s">
        <v>4355</v>
      </c>
      <c r="E42" s="2056" t="s">
        <v>611</v>
      </c>
      <c r="F42" s="2243">
        <v>2409.4560000000001</v>
      </c>
      <c r="H42" s="2071"/>
    </row>
    <row r="43" spans="2:8" s="2070" customFormat="1" ht="16.899999999999999" customHeight="1">
      <c r="B43" s="2071"/>
      <c r="C43" s="2238" t="s">
        <v>4281</v>
      </c>
      <c r="D43" s="2239" t="s">
        <v>4282</v>
      </c>
      <c r="E43" s="2240" t="s">
        <v>611</v>
      </c>
      <c r="F43" s="2241">
        <v>21.66</v>
      </c>
      <c r="H43" s="2071"/>
    </row>
    <row r="44" spans="2:8" s="2070" customFormat="1" ht="16.899999999999999" customHeight="1">
      <c r="B44" s="2071"/>
      <c r="C44" s="2242" t="s">
        <v>3146</v>
      </c>
      <c r="D44" s="2242" t="s">
        <v>4283</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6097</v>
      </c>
      <c r="H46" s="2071"/>
    </row>
    <row r="47" spans="2:8" s="2070" customFormat="1" ht="16.899999999999999" customHeight="1">
      <c r="B47" s="2071"/>
      <c r="C47" s="2242" t="s">
        <v>4313</v>
      </c>
      <c r="D47" s="2242" t="s">
        <v>4314</v>
      </c>
      <c r="E47" s="2056" t="s">
        <v>221</v>
      </c>
      <c r="F47" s="2243">
        <v>1.1910000000000001</v>
      </c>
      <c r="H47" s="2071"/>
    </row>
    <row r="48" spans="2:8" s="2070" customFormat="1" ht="16.899999999999999" customHeight="1">
      <c r="B48" s="2071"/>
      <c r="C48" s="2242" t="s">
        <v>4317</v>
      </c>
      <c r="D48" s="2242" t="s">
        <v>4318</v>
      </c>
      <c r="E48" s="2056" t="s">
        <v>221</v>
      </c>
      <c r="F48" s="2243">
        <v>3.5739999999999998</v>
      </c>
      <c r="H48" s="2071"/>
    </row>
    <row r="49" spans="2:8" s="2070" customFormat="1" ht="22.5">
      <c r="B49" s="2071"/>
      <c r="C49" s="2242" t="s">
        <v>4321</v>
      </c>
      <c r="D49" s="2242" t="s">
        <v>4322</v>
      </c>
      <c r="E49" s="2056" t="s">
        <v>611</v>
      </c>
      <c r="F49" s="2243">
        <v>21.66</v>
      </c>
      <c r="H49" s="2071"/>
    </row>
    <row r="50" spans="2:8" s="2070" customFormat="1" ht="16.899999999999999" customHeight="1">
      <c r="B50" s="2071"/>
      <c r="C50" s="2242" t="s">
        <v>4331</v>
      </c>
      <c r="D50" s="2242" t="s">
        <v>4332</v>
      </c>
      <c r="E50" s="2056" t="s">
        <v>611</v>
      </c>
      <c r="F50" s="2243">
        <v>21.66</v>
      </c>
      <c r="H50" s="2071"/>
    </row>
    <row r="51" spans="2:8" s="2070" customFormat="1" ht="16.899999999999999" customHeight="1">
      <c r="B51" s="2071"/>
      <c r="C51" s="2238" t="s">
        <v>4284</v>
      </c>
      <c r="D51" s="2239" t="s">
        <v>4285</v>
      </c>
      <c r="E51" s="2240" t="s">
        <v>611</v>
      </c>
      <c r="F51" s="2241">
        <v>36.75</v>
      </c>
      <c r="H51" s="2071"/>
    </row>
    <row r="52" spans="2:8" s="2070" customFormat="1" ht="16.899999999999999" customHeight="1">
      <c r="B52" s="2071"/>
      <c r="C52" s="2242" t="s">
        <v>3146</v>
      </c>
      <c r="D52" s="2242" t="s">
        <v>6099</v>
      </c>
      <c r="E52" s="2056" t="s">
        <v>3146</v>
      </c>
      <c r="F52" s="2243">
        <v>47.25</v>
      </c>
      <c r="H52" s="2071"/>
    </row>
    <row r="53" spans="2:8" s="2070" customFormat="1" ht="16.899999999999999" customHeight="1">
      <c r="B53" s="2071"/>
      <c r="C53" s="2242" t="s">
        <v>3146</v>
      </c>
      <c r="D53" s="2242" t="s">
        <v>6100</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6097</v>
      </c>
      <c r="H55" s="2071"/>
    </row>
    <row r="56" spans="2:8" s="2070" customFormat="1" ht="22.5">
      <c r="B56" s="2071"/>
      <c r="C56" s="2242" t="s">
        <v>11005</v>
      </c>
      <c r="D56" s="2242" t="s">
        <v>11006</v>
      </c>
      <c r="E56" s="2056" t="s">
        <v>221</v>
      </c>
      <c r="F56" s="2243">
        <v>14.7</v>
      </c>
      <c r="H56" s="2071"/>
    </row>
    <row r="57" spans="2:8" s="2070" customFormat="1" ht="16.899999999999999" customHeight="1">
      <c r="B57" s="2071"/>
      <c r="C57" s="2242" t="s">
        <v>4290</v>
      </c>
      <c r="D57" s="2242" t="s">
        <v>4291</v>
      </c>
      <c r="E57" s="2056" t="s">
        <v>611</v>
      </c>
      <c r="F57" s="2243">
        <v>3237.2759999999998</v>
      </c>
      <c r="H57" s="2071"/>
    </row>
    <row r="58" spans="2:8" s="2070" customFormat="1" ht="16.899999999999999" customHeight="1">
      <c r="B58" s="2071"/>
      <c r="C58" s="2242" t="s">
        <v>4294</v>
      </c>
      <c r="D58" s="2242" t="s">
        <v>4295</v>
      </c>
      <c r="E58" s="2056" t="s">
        <v>611</v>
      </c>
      <c r="F58" s="2243">
        <v>19397.527999999998</v>
      </c>
      <c r="H58" s="2071"/>
    </row>
    <row r="59" spans="2:8" s="2070" customFormat="1" ht="22.5">
      <c r="B59" s="2071"/>
      <c r="C59" s="2242" t="s">
        <v>4305</v>
      </c>
      <c r="D59" s="2242" t="s">
        <v>4306</v>
      </c>
      <c r="E59" s="2056" t="s">
        <v>141</v>
      </c>
      <c r="F59" s="2243">
        <v>1950.5119999999999</v>
      </c>
      <c r="H59" s="2071"/>
    </row>
    <row r="60" spans="2:8" s="2070" customFormat="1" ht="16.899999999999999" customHeight="1">
      <c r="B60" s="2071"/>
      <c r="C60" s="2242" t="s">
        <v>4350</v>
      </c>
      <c r="D60" s="2242" t="s">
        <v>4351</v>
      </c>
      <c r="E60" s="2056" t="s">
        <v>611</v>
      </c>
      <c r="F60" s="2243">
        <v>4589.4399999999996</v>
      </c>
      <c r="H60" s="2071"/>
    </row>
    <row r="61" spans="2:8" s="2070" customFormat="1" ht="16.899999999999999" customHeight="1">
      <c r="B61" s="2071"/>
      <c r="C61" s="2242" t="s">
        <v>4370</v>
      </c>
      <c r="D61" s="2242" t="s">
        <v>4371</v>
      </c>
      <c r="E61" s="2056" t="s">
        <v>611</v>
      </c>
      <c r="F61" s="2243">
        <v>3237.2759999999998</v>
      </c>
      <c r="H61" s="2071"/>
    </row>
    <row r="62" spans="2:8" s="2070" customFormat="1" ht="16.899999999999999" customHeight="1">
      <c r="B62" s="2071"/>
      <c r="C62" s="2242" t="s">
        <v>11015</v>
      </c>
      <c r="D62" s="2242" t="s">
        <v>11016</v>
      </c>
      <c r="E62" s="2056" t="s">
        <v>611</v>
      </c>
      <c r="F62" s="2243">
        <v>1944.22</v>
      </c>
      <c r="H62" s="2071"/>
    </row>
    <row r="63" spans="2:8" s="2070" customFormat="1" ht="16.899999999999999" customHeight="1">
      <c r="B63" s="2071"/>
      <c r="C63" s="2242" t="s">
        <v>4358</v>
      </c>
      <c r="D63" s="2242" t="s">
        <v>4359</v>
      </c>
      <c r="E63" s="2056" t="s">
        <v>611</v>
      </c>
      <c r="F63" s="2243">
        <v>2409.4560000000001</v>
      </c>
      <c r="H63" s="2071"/>
    </row>
    <row r="64" spans="2:8" s="2070" customFormat="1" ht="16.899999999999999" customHeight="1">
      <c r="B64" s="2071"/>
      <c r="C64" s="2242" t="s">
        <v>4354</v>
      </c>
      <c r="D64" s="2242" t="s">
        <v>4355</v>
      </c>
      <c r="E64" s="2056" t="s">
        <v>611</v>
      </c>
      <c r="F64" s="2243">
        <v>2409.4560000000001</v>
      </c>
      <c r="H64" s="2071"/>
    </row>
    <row r="65" spans="2:8" s="2070" customFormat="1" ht="16.899999999999999" customHeight="1">
      <c r="B65" s="2071"/>
      <c r="C65" s="2238" t="s">
        <v>4256</v>
      </c>
      <c r="D65" s="2239" t="s">
        <v>4257</v>
      </c>
      <c r="E65" s="2240" t="s">
        <v>611</v>
      </c>
      <c r="F65" s="2241">
        <v>69.790000000000006</v>
      </c>
      <c r="H65" s="2071"/>
    </row>
    <row r="66" spans="2:8" s="2070" customFormat="1" ht="16.899999999999999" customHeight="1">
      <c r="B66" s="2071"/>
      <c r="C66" s="2242" t="s">
        <v>3146</v>
      </c>
      <c r="D66" s="2242" t="s">
        <v>6101</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6097</v>
      </c>
      <c r="H68" s="2071"/>
    </row>
    <row r="69" spans="2:8" s="2070" customFormat="1" ht="16.899999999999999" customHeight="1">
      <c r="B69" s="2071"/>
      <c r="C69" s="2242" t="s">
        <v>4290</v>
      </c>
      <c r="D69" s="2242" t="s">
        <v>4291</v>
      </c>
      <c r="E69" s="2056" t="s">
        <v>611</v>
      </c>
      <c r="F69" s="2243">
        <v>3237.2759999999998</v>
      </c>
      <c r="H69" s="2071"/>
    </row>
    <row r="70" spans="2:8" s="2070" customFormat="1" ht="16.899999999999999" customHeight="1">
      <c r="B70" s="2071"/>
      <c r="C70" s="2242" t="s">
        <v>4294</v>
      </c>
      <c r="D70" s="2242" t="s">
        <v>4295</v>
      </c>
      <c r="E70" s="2056" t="s">
        <v>611</v>
      </c>
      <c r="F70" s="2243">
        <v>19397.527999999998</v>
      </c>
      <c r="H70" s="2071"/>
    </row>
    <row r="71" spans="2:8" s="2070" customFormat="1" ht="22.5">
      <c r="B71" s="2071"/>
      <c r="C71" s="2242" t="s">
        <v>4309</v>
      </c>
      <c r="D71" s="2242" t="s">
        <v>4310</v>
      </c>
      <c r="E71" s="2056" t="s">
        <v>141</v>
      </c>
      <c r="F71" s="2243">
        <v>848.3</v>
      </c>
      <c r="H71" s="2071"/>
    </row>
    <row r="72" spans="2:8" s="2070" customFormat="1" ht="16.899999999999999" customHeight="1">
      <c r="B72" s="2071"/>
      <c r="C72" s="2242" t="s">
        <v>4361</v>
      </c>
      <c r="D72" s="2242" t="s">
        <v>4362</v>
      </c>
      <c r="E72" s="2056" t="s">
        <v>611</v>
      </c>
      <c r="F72" s="2243">
        <v>942.55600000000004</v>
      </c>
      <c r="H72" s="2071"/>
    </row>
    <row r="73" spans="2:8" s="2070" customFormat="1" ht="16.899999999999999" customHeight="1">
      <c r="B73" s="2071"/>
      <c r="C73" s="2242" t="s">
        <v>4370</v>
      </c>
      <c r="D73" s="2242" t="s">
        <v>4371</v>
      </c>
      <c r="E73" s="2056" t="s">
        <v>611</v>
      </c>
      <c r="F73" s="2243">
        <v>3237.2759999999998</v>
      </c>
      <c r="H73" s="2071"/>
    </row>
    <row r="74" spans="2:8" s="2070" customFormat="1" ht="16.899999999999999" customHeight="1">
      <c r="B74" s="2071"/>
      <c r="C74" s="2242" t="s">
        <v>11015</v>
      </c>
      <c r="D74" s="2242" t="s">
        <v>11016</v>
      </c>
      <c r="E74" s="2056" t="s">
        <v>611</v>
      </c>
      <c r="F74" s="2243">
        <v>1944.22</v>
      </c>
      <c r="H74" s="2071"/>
    </row>
    <row r="75" spans="2:8" s="2070" customFormat="1" ht="16.899999999999999" customHeight="1">
      <c r="B75" s="2071"/>
      <c r="C75" s="2242" t="s">
        <v>4364</v>
      </c>
      <c r="D75" s="2242" t="s">
        <v>4365</v>
      </c>
      <c r="E75" s="2056" t="s">
        <v>221</v>
      </c>
      <c r="F75" s="2243">
        <v>217.73</v>
      </c>
      <c r="H75" s="2071"/>
    </row>
    <row r="76" spans="2:8" s="2070" customFormat="1" ht="16.899999999999999" customHeight="1">
      <c r="B76" s="2071"/>
      <c r="C76" s="2238" t="s">
        <v>4259</v>
      </c>
      <c r="D76" s="2239" t="s">
        <v>4260</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6102</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6097</v>
      </c>
      <c r="H81" s="2071"/>
    </row>
    <row r="82" spans="2:8" s="2070" customFormat="1" ht="16.899999999999999" customHeight="1">
      <c r="B82" s="2071"/>
      <c r="C82" s="2242" t="s">
        <v>4290</v>
      </c>
      <c r="D82" s="2242" t="s">
        <v>4291</v>
      </c>
      <c r="E82" s="2056" t="s">
        <v>611</v>
      </c>
      <c r="F82" s="2243">
        <v>3237.2759999999998</v>
      </c>
      <c r="H82" s="2071"/>
    </row>
    <row r="83" spans="2:8" s="2070" customFormat="1" ht="16.899999999999999" customHeight="1">
      <c r="B83" s="2071"/>
      <c r="C83" s="2242" t="s">
        <v>4294</v>
      </c>
      <c r="D83" s="2242" t="s">
        <v>4295</v>
      </c>
      <c r="E83" s="2056" t="s">
        <v>611</v>
      </c>
      <c r="F83" s="2243">
        <v>19397.527999999998</v>
      </c>
      <c r="H83" s="2071"/>
    </row>
    <row r="84" spans="2:8" s="2070" customFormat="1" ht="22.5">
      <c r="B84" s="2071"/>
      <c r="C84" s="2242" t="s">
        <v>4309</v>
      </c>
      <c r="D84" s="2242" t="s">
        <v>4310</v>
      </c>
      <c r="E84" s="2056" t="s">
        <v>141</v>
      </c>
      <c r="F84" s="2243">
        <v>848.3</v>
      </c>
      <c r="H84" s="2071"/>
    </row>
    <row r="85" spans="2:8" s="2070" customFormat="1" ht="16.899999999999999" customHeight="1">
      <c r="B85" s="2071"/>
      <c r="C85" s="2242" t="s">
        <v>4361</v>
      </c>
      <c r="D85" s="2242" t="s">
        <v>4362</v>
      </c>
      <c r="E85" s="2056" t="s">
        <v>611</v>
      </c>
      <c r="F85" s="2243">
        <v>942.55600000000004</v>
      </c>
      <c r="H85" s="2071"/>
    </row>
    <row r="86" spans="2:8" s="2070" customFormat="1" ht="16.899999999999999" customHeight="1">
      <c r="B86" s="2071"/>
      <c r="C86" s="2242" t="s">
        <v>4370</v>
      </c>
      <c r="D86" s="2242" t="s">
        <v>4371</v>
      </c>
      <c r="E86" s="2056" t="s">
        <v>611</v>
      </c>
      <c r="F86" s="2243">
        <v>3237.2759999999998</v>
      </c>
      <c r="H86" s="2071"/>
    </row>
    <row r="87" spans="2:8" s="2070" customFormat="1" ht="16.899999999999999" customHeight="1">
      <c r="B87" s="2071"/>
      <c r="C87" s="2242" t="s">
        <v>4518</v>
      </c>
      <c r="D87" s="2242" t="s">
        <v>4519</v>
      </c>
      <c r="E87" s="2056" t="s">
        <v>611</v>
      </c>
      <c r="F87" s="2243">
        <v>558.62</v>
      </c>
      <c r="H87" s="2071"/>
    </row>
    <row r="88" spans="2:8" s="2070" customFormat="1" ht="16.899999999999999" customHeight="1">
      <c r="B88" s="2071"/>
      <c r="C88" s="2242" t="s">
        <v>4364</v>
      </c>
      <c r="D88" s="2242" t="s">
        <v>4365</v>
      </c>
      <c r="E88" s="2056" t="s">
        <v>221</v>
      </c>
      <c r="F88" s="2243">
        <v>217.73</v>
      </c>
      <c r="H88" s="2071"/>
    </row>
    <row r="89" spans="2:8" s="2070" customFormat="1" ht="16.899999999999999" customHeight="1">
      <c r="B89" s="2071"/>
      <c r="C89" s="2238" t="s">
        <v>4265</v>
      </c>
      <c r="D89" s="2239" t="s">
        <v>4266</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6103</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6104</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6105</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6097</v>
      </c>
      <c r="H100" s="2071"/>
    </row>
    <row r="101" spans="2:8" s="2070" customFormat="1" ht="16.899999999999999" customHeight="1">
      <c r="B101" s="2071"/>
      <c r="C101" s="2242" t="s">
        <v>4290</v>
      </c>
      <c r="D101" s="2242" t="s">
        <v>4291</v>
      </c>
      <c r="E101" s="2056" t="s">
        <v>611</v>
      </c>
      <c r="F101" s="2243">
        <v>3237.2759999999998</v>
      </c>
      <c r="H101" s="2071"/>
    </row>
    <row r="102" spans="2:8" s="2070" customFormat="1" ht="16.899999999999999" customHeight="1">
      <c r="B102" s="2071"/>
      <c r="C102" s="2242" t="s">
        <v>4294</v>
      </c>
      <c r="D102" s="2242" t="s">
        <v>4295</v>
      </c>
      <c r="E102" s="2056" t="s">
        <v>611</v>
      </c>
      <c r="F102" s="2243">
        <v>19397.527999999998</v>
      </c>
      <c r="H102" s="2071"/>
    </row>
    <row r="103" spans="2:8" s="2070" customFormat="1" ht="22.5">
      <c r="B103" s="2071"/>
      <c r="C103" s="2242" t="s">
        <v>4305</v>
      </c>
      <c r="D103" s="2242" t="s">
        <v>4306</v>
      </c>
      <c r="E103" s="2056" t="s">
        <v>141</v>
      </c>
      <c r="F103" s="2243">
        <v>1950.5119999999999</v>
      </c>
      <c r="H103" s="2071"/>
    </row>
    <row r="104" spans="2:8" s="2070" customFormat="1" ht="16.899999999999999" customHeight="1">
      <c r="B104" s="2071"/>
      <c r="C104" s="2242" t="s">
        <v>4350</v>
      </c>
      <c r="D104" s="2242" t="s">
        <v>4351</v>
      </c>
      <c r="E104" s="2056" t="s">
        <v>611</v>
      </c>
      <c r="F104" s="2243">
        <v>4589.4399999999996</v>
      </c>
      <c r="H104" s="2071"/>
    </row>
    <row r="105" spans="2:8" s="2070" customFormat="1" ht="16.899999999999999" customHeight="1">
      <c r="B105" s="2071"/>
      <c r="C105" s="2242" t="s">
        <v>4370</v>
      </c>
      <c r="D105" s="2242" t="s">
        <v>4371</v>
      </c>
      <c r="E105" s="2056" t="s">
        <v>611</v>
      </c>
      <c r="F105" s="2243">
        <v>3237.2759999999998</v>
      </c>
      <c r="H105" s="2071"/>
    </row>
    <row r="106" spans="2:8" s="2070" customFormat="1" ht="16.899999999999999" customHeight="1">
      <c r="B106" s="2071"/>
      <c r="C106" s="2242" t="s">
        <v>4385</v>
      </c>
      <c r="D106" s="2242" t="s">
        <v>4386</v>
      </c>
      <c r="E106" s="2056" t="s">
        <v>611</v>
      </c>
      <c r="F106" s="2243">
        <v>726.98599999999999</v>
      </c>
      <c r="H106" s="2071"/>
    </row>
    <row r="107" spans="2:8" s="2070" customFormat="1" ht="22.5">
      <c r="B107" s="2071"/>
      <c r="C107" s="2242" t="s">
        <v>4408</v>
      </c>
      <c r="D107" s="2242" t="s">
        <v>4409</v>
      </c>
      <c r="E107" s="2056" t="s">
        <v>611</v>
      </c>
      <c r="F107" s="2243">
        <v>726.98599999999999</v>
      </c>
      <c r="H107" s="2071"/>
    </row>
    <row r="108" spans="2:8" s="2070" customFormat="1" ht="16.899999999999999" customHeight="1">
      <c r="B108" s="2071"/>
      <c r="C108" s="2242" t="s">
        <v>4358</v>
      </c>
      <c r="D108" s="2242" t="s">
        <v>4359</v>
      </c>
      <c r="E108" s="2056" t="s">
        <v>611</v>
      </c>
      <c r="F108" s="2243">
        <v>2409.4560000000001</v>
      </c>
      <c r="H108" s="2071"/>
    </row>
    <row r="109" spans="2:8" s="2070" customFormat="1" ht="16.899999999999999" customHeight="1">
      <c r="B109" s="2071"/>
      <c r="C109" s="2242" t="s">
        <v>4354</v>
      </c>
      <c r="D109" s="2242" t="s">
        <v>4355</v>
      </c>
      <c r="E109" s="2056" t="s">
        <v>611</v>
      </c>
      <c r="F109" s="2243">
        <v>2409.4560000000001</v>
      </c>
      <c r="H109" s="2071"/>
    </row>
    <row r="110" spans="2:8" s="2070" customFormat="1" ht="16.899999999999999" customHeight="1">
      <c r="B110" s="2071"/>
      <c r="C110" s="2238" t="s">
        <v>4268</v>
      </c>
      <c r="D110" s="2239" t="s">
        <v>4269</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6106</v>
      </c>
      <c r="E112" s="2056" t="s">
        <v>3146</v>
      </c>
      <c r="F112" s="2243">
        <v>495.98</v>
      </c>
      <c r="H112" s="2071"/>
    </row>
    <row r="113" spans="2:8" s="2070" customFormat="1" ht="16.899999999999999" customHeight="1">
      <c r="B113" s="2071"/>
      <c r="C113" s="2242" t="s">
        <v>3146</v>
      </c>
      <c r="D113" s="2242" t="s">
        <v>6107</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6108</v>
      </c>
      <c r="E116" s="2056" t="s">
        <v>3146</v>
      </c>
      <c r="F116" s="2243">
        <v>375.54</v>
      </c>
      <c r="H116" s="2071"/>
    </row>
    <row r="117" spans="2:8" s="2070" customFormat="1" ht="16.899999999999999" customHeight="1">
      <c r="B117" s="2071"/>
      <c r="C117" s="2242" t="s">
        <v>3146</v>
      </c>
      <c r="D117" s="2242" t="s">
        <v>6109</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6110</v>
      </c>
      <c r="E120" s="2056" t="s">
        <v>3146</v>
      </c>
      <c r="F120" s="2243">
        <v>399.04</v>
      </c>
      <c r="H120" s="2071"/>
    </row>
    <row r="121" spans="2:8" s="2070" customFormat="1" ht="16.899999999999999" customHeight="1">
      <c r="B121" s="2071"/>
      <c r="C121" s="2242" t="s">
        <v>3146</v>
      </c>
      <c r="D121" s="2242" t="s">
        <v>6111</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6097</v>
      </c>
      <c r="H124" s="2071"/>
    </row>
    <row r="125" spans="2:8" s="2070" customFormat="1" ht="16.899999999999999" customHeight="1">
      <c r="B125" s="2071"/>
      <c r="C125" s="2242" t="s">
        <v>4290</v>
      </c>
      <c r="D125" s="2242" t="s">
        <v>4291</v>
      </c>
      <c r="E125" s="2056" t="s">
        <v>611</v>
      </c>
      <c r="F125" s="2243">
        <v>3237.2759999999998</v>
      </c>
      <c r="H125" s="2071"/>
    </row>
    <row r="126" spans="2:8" s="2070" customFormat="1" ht="16.899999999999999" customHeight="1">
      <c r="B126" s="2071"/>
      <c r="C126" s="2242" t="s">
        <v>4294</v>
      </c>
      <c r="D126" s="2242" t="s">
        <v>4295</v>
      </c>
      <c r="E126" s="2056" t="s">
        <v>611</v>
      </c>
      <c r="F126" s="2243">
        <v>19397.527999999998</v>
      </c>
      <c r="H126" s="2071"/>
    </row>
    <row r="127" spans="2:8" s="2070" customFormat="1" ht="22.5">
      <c r="B127" s="2071"/>
      <c r="C127" s="2242" t="s">
        <v>4305</v>
      </c>
      <c r="D127" s="2242" t="s">
        <v>4306</v>
      </c>
      <c r="E127" s="2056" t="s">
        <v>141</v>
      </c>
      <c r="F127" s="2243">
        <v>1950.5119999999999</v>
      </c>
      <c r="H127" s="2071"/>
    </row>
    <row r="128" spans="2:8" s="2070" customFormat="1" ht="16.899999999999999" customHeight="1">
      <c r="B128" s="2071"/>
      <c r="C128" s="2242" t="s">
        <v>4350</v>
      </c>
      <c r="D128" s="2242" t="s">
        <v>4351</v>
      </c>
      <c r="E128" s="2056" t="s">
        <v>611</v>
      </c>
      <c r="F128" s="2243">
        <v>4589.4399999999996</v>
      </c>
      <c r="H128" s="2071"/>
    </row>
    <row r="129" spans="2:8" s="2070" customFormat="1" ht="16.899999999999999" customHeight="1">
      <c r="B129" s="2071"/>
      <c r="C129" s="2242" t="s">
        <v>4370</v>
      </c>
      <c r="D129" s="2242" t="s">
        <v>4371</v>
      </c>
      <c r="E129" s="2056" t="s">
        <v>611</v>
      </c>
      <c r="F129" s="2243">
        <v>3237.2759999999998</v>
      </c>
      <c r="H129" s="2071"/>
    </row>
    <row r="130" spans="2:8" s="2070" customFormat="1" ht="16.899999999999999" customHeight="1">
      <c r="B130" s="2071"/>
      <c r="C130" s="2242" t="s">
        <v>11015</v>
      </c>
      <c r="D130" s="2242" t="s">
        <v>11016</v>
      </c>
      <c r="E130" s="2056" t="s">
        <v>611</v>
      </c>
      <c r="F130" s="2243">
        <v>1944.22</v>
      </c>
      <c r="H130" s="2071"/>
    </row>
    <row r="131" spans="2:8" s="2070" customFormat="1" ht="16.899999999999999" customHeight="1">
      <c r="B131" s="2071"/>
      <c r="C131" s="2242" t="s">
        <v>4358</v>
      </c>
      <c r="D131" s="2242" t="s">
        <v>4359</v>
      </c>
      <c r="E131" s="2056" t="s">
        <v>611</v>
      </c>
      <c r="F131" s="2243">
        <v>2409.4560000000001</v>
      </c>
      <c r="H131" s="2071"/>
    </row>
    <row r="132" spans="2:8" s="2070" customFormat="1" ht="16.899999999999999" customHeight="1">
      <c r="B132" s="2071"/>
      <c r="C132" s="2242" t="s">
        <v>4354</v>
      </c>
      <c r="D132" s="2242" t="s">
        <v>4355</v>
      </c>
      <c r="E132" s="2056" t="s">
        <v>611</v>
      </c>
      <c r="F132" s="2243">
        <v>2409.4560000000001</v>
      </c>
      <c r="H132" s="2071"/>
    </row>
    <row r="133" spans="2:8" s="2070" customFormat="1" ht="16.899999999999999" customHeight="1">
      <c r="B133" s="2071"/>
      <c r="C133" s="2238" t="s">
        <v>4271</v>
      </c>
      <c r="D133" s="2239" t="s">
        <v>4272</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6112</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6113</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6097</v>
      </c>
      <c r="H141" s="2071"/>
    </row>
    <row r="142" spans="2:8" s="2070" customFormat="1" ht="16.899999999999999" customHeight="1">
      <c r="B142" s="2071"/>
      <c r="C142" s="2242" t="s">
        <v>4290</v>
      </c>
      <c r="D142" s="2242" t="s">
        <v>4291</v>
      </c>
      <c r="E142" s="2056" t="s">
        <v>611</v>
      </c>
      <c r="F142" s="2243">
        <v>3237.2759999999998</v>
      </c>
      <c r="H142" s="2071"/>
    </row>
    <row r="143" spans="2:8" s="2070" customFormat="1" ht="16.899999999999999" customHeight="1">
      <c r="B143" s="2071"/>
      <c r="C143" s="2242" t="s">
        <v>4294</v>
      </c>
      <c r="D143" s="2242" t="s">
        <v>4295</v>
      </c>
      <c r="E143" s="2056" t="s">
        <v>611</v>
      </c>
      <c r="F143" s="2243">
        <v>19397.527999999998</v>
      </c>
      <c r="H143" s="2071"/>
    </row>
    <row r="144" spans="2:8" s="2070" customFormat="1" ht="22.5">
      <c r="B144" s="2071"/>
      <c r="C144" s="2242" t="s">
        <v>4305</v>
      </c>
      <c r="D144" s="2242" t="s">
        <v>4306</v>
      </c>
      <c r="E144" s="2056" t="s">
        <v>141</v>
      </c>
      <c r="F144" s="2243">
        <v>1950.5119999999999</v>
      </c>
      <c r="H144" s="2071"/>
    </row>
    <row r="145" spans="2:8" s="2070" customFormat="1" ht="16.899999999999999" customHeight="1">
      <c r="B145" s="2071"/>
      <c r="C145" s="2242" t="s">
        <v>4350</v>
      </c>
      <c r="D145" s="2242" t="s">
        <v>4351</v>
      </c>
      <c r="E145" s="2056" t="s">
        <v>611</v>
      </c>
      <c r="F145" s="2243">
        <v>4589.4399999999996</v>
      </c>
      <c r="H145" s="2071"/>
    </row>
    <row r="146" spans="2:8" s="2070" customFormat="1" ht="16.899999999999999" customHeight="1">
      <c r="B146" s="2071"/>
      <c r="C146" s="2242" t="s">
        <v>4370</v>
      </c>
      <c r="D146" s="2242" t="s">
        <v>4371</v>
      </c>
      <c r="E146" s="2056" t="s">
        <v>611</v>
      </c>
      <c r="F146" s="2243">
        <v>3237.2759999999998</v>
      </c>
      <c r="H146" s="2071"/>
    </row>
    <row r="147" spans="2:8" s="2070" customFormat="1" ht="16.899999999999999" customHeight="1">
      <c r="B147" s="2071"/>
      <c r="C147" s="2242" t="s">
        <v>11015</v>
      </c>
      <c r="D147" s="2242" t="s">
        <v>11016</v>
      </c>
      <c r="E147" s="2056" t="s">
        <v>611</v>
      </c>
      <c r="F147" s="2243">
        <v>61.99</v>
      </c>
      <c r="H147" s="2071"/>
    </row>
    <row r="148" spans="2:8" s="2070" customFormat="1" ht="16.899999999999999" customHeight="1">
      <c r="B148" s="2071"/>
      <c r="C148" s="2242" t="s">
        <v>4358</v>
      </c>
      <c r="D148" s="2242" t="s">
        <v>4359</v>
      </c>
      <c r="E148" s="2056" t="s">
        <v>611</v>
      </c>
      <c r="F148" s="2243">
        <v>2409.4560000000001</v>
      </c>
      <c r="H148" s="2071"/>
    </row>
    <row r="149" spans="2:8" s="2070" customFormat="1" ht="16.899999999999999" customHeight="1">
      <c r="B149" s="2071"/>
      <c r="C149" s="2242" t="s">
        <v>4354</v>
      </c>
      <c r="D149" s="2242" t="s">
        <v>4355</v>
      </c>
      <c r="E149" s="2056" t="s">
        <v>611</v>
      </c>
      <c r="F149" s="2243">
        <v>2409.4560000000001</v>
      </c>
      <c r="H149" s="2071"/>
    </row>
    <row r="150" spans="2:8" s="2070" customFormat="1" ht="16.899999999999999" customHeight="1">
      <c r="B150" s="2071"/>
      <c r="C150" s="2238" t="s">
        <v>4262</v>
      </c>
      <c r="D150" s="2239" t="s">
        <v>4263</v>
      </c>
      <c r="E150" s="2240" t="s">
        <v>611</v>
      </c>
      <c r="F150" s="2241">
        <v>11.9</v>
      </c>
      <c r="H150" s="2071"/>
    </row>
    <row r="151" spans="2:8" s="2070" customFormat="1" ht="16.899999999999999" customHeight="1">
      <c r="B151" s="2071"/>
      <c r="C151" s="2242" t="s">
        <v>3146</v>
      </c>
      <c r="D151" s="2242" t="s">
        <v>6114</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6097</v>
      </c>
      <c r="H153" s="2071"/>
    </row>
    <row r="154" spans="2:8" s="2070" customFormat="1" ht="16.899999999999999" customHeight="1">
      <c r="B154" s="2071"/>
      <c r="C154" s="2242" t="s">
        <v>4540</v>
      </c>
      <c r="D154" s="2242" t="s">
        <v>4541</v>
      </c>
      <c r="E154" s="2056" t="s">
        <v>611</v>
      </c>
      <c r="F154" s="2243">
        <v>11.9</v>
      </c>
      <c r="H154" s="2071"/>
    </row>
    <row r="155" spans="2:8" s="2070" customFormat="1" ht="16.899999999999999" customHeight="1">
      <c r="B155" s="2071"/>
      <c r="C155" s="2238" t="s">
        <v>4275</v>
      </c>
      <c r="D155" s="2239" t="s">
        <v>4276</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6115</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6115</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6097</v>
      </c>
      <c r="H163" s="2071"/>
    </row>
    <row r="164" spans="2:8" s="2070" customFormat="1" ht="16.899999999999999" customHeight="1">
      <c r="B164" s="2071"/>
      <c r="C164" s="2242" t="s">
        <v>11009</v>
      </c>
      <c r="D164" s="2242" t="s">
        <v>11010</v>
      </c>
      <c r="E164" s="2056" t="s">
        <v>611</v>
      </c>
      <c r="F164" s="2243">
        <v>37.840000000000003</v>
      </c>
      <c r="H164" s="2071"/>
    </row>
    <row r="165" spans="2:8" s="2070" customFormat="1" ht="16.899999999999999" customHeight="1">
      <c r="B165" s="2071"/>
      <c r="C165" s="2242" t="s">
        <v>4385</v>
      </c>
      <c r="D165" s="2242" t="s">
        <v>4386</v>
      </c>
      <c r="E165" s="2056" t="s">
        <v>611</v>
      </c>
      <c r="F165" s="2243">
        <v>726.98599999999999</v>
      </c>
      <c r="H165" s="2071"/>
    </row>
    <row r="166" spans="2:8" s="2070" customFormat="1" ht="22.5">
      <c r="B166" s="2071"/>
      <c r="C166" s="2242" t="s">
        <v>4408</v>
      </c>
      <c r="D166" s="2242" t="s">
        <v>4409</v>
      </c>
      <c r="E166" s="2056" t="s">
        <v>611</v>
      </c>
      <c r="F166" s="2243">
        <v>726.98599999999999</v>
      </c>
      <c r="H166" s="2071"/>
    </row>
    <row r="167" spans="2:8" s="2070" customFormat="1" ht="16.899999999999999" customHeight="1">
      <c r="B167" s="2071"/>
      <c r="C167" s="2242" t="s">
        <v>11012</v>
      </c>
      <c r="D167" s="2242" t="s">
        <v>11013</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703FD"/>
    <pageSetUpPr fitToPage="1"/>
  </sheetPr>
  <dimension ref="A1:BJ792"/>
  <sheetViews>
    <sheetView zoomScale="115" zoomScaleNormal="115" workbookViewId="0"/>
  </sheetViews>
  <sheetFormatPr defaultRowHeight="15"/>
  <cols>
    <col min="1" max="1" width="4.83203125" style="5685" customWidth="1"/>
    <col min="2" max="2" width="5" style="5686" customWidth="1"/>
    <col min="3" max="3" width="16.83203125" style="5686" customWidth="1"/>
    <col min="4" max="4" width="71.33203125" style="5686" customWidth="1"/>
    <col min="5" max="5" width="7.83203125" style="5686" customWidth="1"/>
    <col min="6" max="6" width="10.33203125" style="5687" customWidth="1"/>
    <col min="7" max="7" width="13.6640625" style="5688" customWidth="1"/>
    <col min="8" max="8" width="18.33203125" style="5688"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30" ht="18">
      <c r="A1" s="5789" t="s">
        <v>3275</v>
      </c>
      <c r="B1" s="319"/>
      <c r="C1" s="319"/>
      <c r="D1" s="320"/>
      <c r="E1" s="321"/>
      <c r="F1" s="321"/>
      <c r="G1" s="321"/>
      <c r="H1" s="321"/>
      <c r="I1" s="321"/>
      <c r="J1" s="321"/>
    </row>
    <row r="2" spans="1:30" ht="15" customHeight="1">
      <c r="A2" s="5885" t="s">
        <v>112</v>
      </c>
      <c r="B2" s="5886"/>
      <c r="C2" s="5886"/>
      <c r="D2" s="5886"/>
      <c r="E2" s="5886"/>
      <c r="F2" s="5886"/>
      <c r="G2" s="5886"/>
      <c r="H2" s="5886"/>
      <c r="I2" s="5886"/>
      <c r="J2" s="5886"/>
      <c r="K2" s="5663"/>
      <c r="L2" s="5663"/>
      <c r="P2" s="5664"/>
      <c r="Q2" s="660"/>
      <c r="R2" s="660"/>
      <c r="S2" s="660"/>
      <c r="T2" s="660"/>
      <c r="U2" s="660"/>
      <c r="V2" s="660"/>
      <c r="W2" s="660"/>
      <c r="X2" s="660"/>
    </row>
    <row r="3" spans="1:30" ht="13.5" customHeight="1">
      <c r="A3" s="5692" t="s">
        <v>11781</v>
      </c>
      <c r="B3" s="5693"/>
      <c r="C3" s="5693"/>
      <c r="D3" s="5693"/>
      <c r="E3" s="5693"/>
      <c r="F3" s="5694"/>
      <c r="G3" s="5694"/>
      <c r="H3" s="5695"/>
      <c r="I3" s="5695"/>
      <c r="J3" s="5695"/>
      <c r="P3" s="5664"/>
      <c r="U3" s="660"/>
    </row>
    <row r="4" spans="1:30" ht="15.75">
      <c r="A4" s="5696"/>
      <c r="B4" s="5696"/>
      <c r="C4" s="5697"/>
      <c r="D4" s="5698"/>
      <c r="E4" s="5696"/>
      <c r="F4" s="5696"/>
      <c r="G4" s="5696"/>
      <c r="H4" s="5696"/>
      <c r="I4" s="5699"/>
      <c r="J4" s="5700"/>
      <c r="P4" s="5664"/>
      <c r="U4" s="660"/>
    </row>
    <row r="5" spans="1:30" ht="22.5">
      <c r="A5" s="5701" t="s">
        <v>127</v>
      </c>
      <c r="B5" s="5701" t="s">
        <v>128</v>
      </c>
      <c r="C5" s="5701" t="s">
        <v>129</v>
      </c>
      <c r="D5" s="5701" t="s">
        <v>68</v>
      </c>
      <c r="E5" s="5701" t="s">
        <v>130</v>
      </c>
      <c r="F5" s="5701" t="s">
        <v>131</v>
      </c>
      <c r="G5" s="5701" t="s">
        <v>132</v>
      </c>
      <c r="H5" s="5998" t="s">
        <v>12199</v>
      </c>
      <c r="I5" s="5701" t="s">
        <v>22</v>
      </c>
      <c r="J5" s="5702"/>
      <c r="P5" s="5664"/>
      <c r="U5" s="701"/>
    </row>
    <row r="6" spans="1:30" ht="15.75">
      <c r="A6" s="5701" t="s">
        <v>133</v>
      </c>
      <c r="B6" s="5701" t="s">
        <v>134</v>
      </c>
      <c r="C6" s="5701" t="s">
        <v>854</v>
      </c>
      <c r="D6" s="5701" t="s">
        <v>856</v>
      </c>
      <c r="E6" s="5701" t="s">
        <v>858</v>
      </c>
      <c r="F6" s="5701" t="s">
        <v>860</v>
      </c>
      <c r="G6" s="5701" t="s">
        <v>2097</v>
      </c>
      <c r="H6" s="5999">
        <v>8</v>
      </c>
      <c r="I6" s="5701">
        <v>9</v>
      </c>
      <c r="J6" s="5702"/>
      <c r="P6" s="5664"/>
      <c r="U6" s="660"/>
    </row>
    <row r="7" spans="1:30" s="660" customFormat="1" ht="21" customHeight="1">
      <c r="A7" s="5703"/>
      <c r="B7" s="5704"/>
      <c r="C7" s="5704" t="s">
        <v>995</v>
      </c>
      <c r="D7" s="5704" t="s">
        <v>996</v>
      </c>
      <c r="E7" s="5704"/>
      <c r="F7" s="5705"/>
      <c r="G7" s="5706"/>
      <c r="H7" s="6000">
        <f>H8</f>
        <v>0</v>
      </c>
      <c r="I7" s="5699"/>
      <c r="J7" s="5702"/>
      <c r="K7" s="5663"/>
      <c r="L7" s="5663"/>
      <c r="M7" s="81"/>
      <c r="N7" s="81"/>
      <c r="O7" s="81"/>
      <c r="P7" s="5664"/>
    </row>
    <row r="8" spans="1:30" s="333" customFormat="1" ht="13.5" customHeight="1">
      <c r="A8" s="5707"/>
      <c r="B8" s="5708"/>
      <c r="C8" s="5708">
        <v>766</v>
      </c>
      <c r="D8" s="5708" t="s">
        <v>4104</v>
      </c>
      <c r="E8" s="5708"/>
      <c r="F8" s="5709"/>
      <c r="G8" s="5709"/>
      <c r="H8" s="6001">
        <f>SUM(H9:H779)</f>
        <v>0</v>
      </c>
      <c r="I8" s="5710"/>
      <c r="J8" s="5711"/>
      <c r="K8" s="1325"/>
    </row>
    <row r="9" spans="1:30" s="333" customFormat="1" ht="27" customHeight="1">
      <c r="A9" s="5712">
        <v>1</v>
      </c>
      <c r="B9" s="5713" t="s">
        <v>4103</v>
      </c>
      <c r="C9" s="5714" t="s">
        <v>11782</v>
      </c>
      <c r="D9" s="5715" t="s">
        <v>11783</v>
      </c>
      <c r="E9" s="5716" t="s">
        <v>155</v>
      </c>
      <c r="F9" s="5717">
        <f>SUM(F11)</f>
        <v>1</v>
      </c>
      <c r="G9" s="5718"/>
      <c r="H9" s="6002">
        <f>F9*G9</f>
        <v>0</v>
      </c>
      <c r="I9" s="5719" t="s">
        <v>60</v>
      </c>
      <c r="J9" s="5720"/>
      <c r="K9" s="81"/>
      <c r="L9" s="81"/>
      <c r="M9" s="81"/>
      <c r="N9" s="81"/>
      <c r="O9" s="81"/>
      <c r="P9" s="1200"/>
      <c r="Q9" s="81"/>
      <c r="R9" s="81"/>
      <c r="S9" s="81"/>
      <c r="T9" s="81"/>
      <c r="U9" s="81"/>
      <c r="V9" s="81"/>
      <c r="W9" s="81"/>
      <c r="X9" s="81"/>
      <c r="Y9" s="81"/>
      <c r="Z9" s="81"/>
      <c r="AA9" s="81"/>
      <c r="AB9" s="81"/>
    </row>
    <row r="10" spans="1:30" ht="40.5" customHeight="1">
      <c r="A10" s="5721"/>
      <c r="B10" s="5714"/>
      <c r="C10" s="5714"/>
      <c r="D10" s="5722" t="s">
        <v>11784</v>
      </c>
      <c r="E10" s="5714"/>
      <c r="F10" s="5723"/>
      <c r="G10" s="5724"/>
      <c r="H10" s="6003"/>
      <c r="I10" s="5725"/>
      <c r="J10" s="5720"/>
      <c r="K10" s="5669"/>
      <c r="L10" s="5669"/>
      <c r="M10" s="900"/>
      <c r="N10" s="5669"/>
      <c r="O10" s="5669"/>
      <c r="P10" s="5669"/>
      <c r="Q10" s="5669"/>
      <c r="R10" s="5669"/>
      <c r="S10" s="5669"/>
      <c r="T10" s="5669"/>
      <c r="U10" s="5669"/>
      <c r="V10" s="5669"/>
      <c r="W10" s="5669"/>
    </row>
    <row r="11" spans="1:30" s="660" customFormat="1" ht="13.5" customHeight="1">
      <c r="A11" s="5726"/>
      <c r="B11" s="5713"/>
      <c r="C11" s="5727"/>
      <c r="D11" s="5714" t="s">
        <v>11785</v>
      </c>
      <c r="E11" s="5714"/>
      <c r="F11" s="5619">
        <v>1</v>
      </c>
      <c r="G11" s="5724"/>
      <c r="H11" s="6003"/>
      <c r="I11" s="5725"/>
      <c r="J11" s="5728"/>
      <c r="K11" s="81"/>
      <c r="L11" s="81"/>
      <c r="M11" s="81"/>
      <c r="N11" s="1200"/>
      <c r="O11" s="81"/>
      <c r="P11" s="808"/>
      <c r="Q11" s="808"/>
      <c r="R11" s="772"/>
      <c r="S11" s="718"/>
    </row>
    <row r="12" spans="1:30" s="660" customFormat="1" ht="13.5" customHeight="1">
      <c r="A12" s="5726"/>
      <c r="B12" s="5713"/>
      <c r="C12" s="5714"/>
      <c r="D12" s="5714" t="s">
        <v>11786</v>
      </c>
      <c r="E12" s="5714"/>
      <c r="F12" s="5619"/>
      <c r="G12" s="5724"/>
      <c r="H12" s="6003"/>
      <c r="I12" s="5729"/>
      <c r="J12" s="5728"/>
      <c r="K12" s="81"/>
      <c r="L12" s="81"/>
      <c r="M12" s="81"/>
      <c r="N12" s="900"/>
      <c r="O12" s="81"/>
      <c r="P12" s="81"/>
      <c r="Q12" s="808"/>
      <c r="R12" s="772"/>
      <c r="S12" s="718"/>
    </row>
    <row r="13" spans="1:30" s="660" customFormat="1" ht="13.5" customHeight="1">
      <c r="A13" s="5726"/>
      <c r="B13" s="5713"/>
      <c r="C13" s="5714"/>
      <c r="D13" s="5714" t="s">
        <v>11787</v>
      </c>
      <c r="E13" s="5714"/>
      <c r="F13" s="5619"/>
      <c r="G13" s="5724"/>
      <c r="H13" s="6003"/>
      <c r="I13" s="5729"/>
      <c r="J13" s="5728"/>
      <c r="K13" s="81"/>
      <c r="L13" s="81"/>
      <c r="M13" s="81"/>
      <c r="Y13" s="1200"/>
      <c r="Z13" s="81"/>
      <c r="AA13" s="81"/>
      <c r="AB13" s="808"/>
      <c r="AC13" s="772"/>
      <c r="AD13" s="718"/>
    </row>
    <row r="14" spans="1:30" s="333" customFormat="1" ht="27" customHeight="1">
      <c r="A14" s="5712">
        <v>2</v>
      </c>
      <c r="B14" s="5713" t="s">
        <v>4103</v>
      </c>
      <c r="C14" s="5714" t="s">
        <v>11788</v>
      </c>
      <c r="D14" s="5715" t="s">
        <v>11789</v>
      </c>
      <c r="E14" s="5716" t="s">
        <v>155</v>
      </c>
      <c r="F14" s="5717">
        <f>SUM(F16)</f>
        <v>1</v>
      </c>
      <c r="G14" s="5718"/>
      <c r="H14" s="6002">
        <f>F14*G14</f>
        <v>0</v>
      </c>
      <c r="I14" s="5719" t="s">
        <v>60</v>
      </c>
      <c r="J14" s="5720"/>
      <c r="K14" s="81"/>
      <c r="L14" s="81"/>
      <c r="M14" s="81"/>
      <c r="N14" s="81"/>
      <c r="O14" s="81"/>
      <c r="P14" s="1200"/>
      <c r="Q14" s="81"/>
      <c r="R14" s="81"/>
      <c r="S14" s="81"/>
      <c r="T14" s="81"/>
      <c r="U14" s="81"/>
      <c r="V14" s="81"/>
      <c r="W14" s="81"/>
      <c r="X14" s="81"/>
      <c r="Y14" s="81"/>
      <c r="Z14" s="81"/>
      <c r="AA14" s="81"/>
      <c r="AB14" s="81"/>
    </row>
    <row r="15" spans="1:30" ht="40.5" customHeight="1">
      <c r="A15" s="5721"/>
      <c r="B15" s="5714"/>
      <c r="C15" s="5714"/>
      <c r="D15" s="5722" t="s">
        <v>11790</v>
      </c>
      <c r="E15" s="5714"/>
      <c r="F15" s="5723"/>
      <c r="G15" s="5724"/>
      <c r="H15" s="6003"/>
      <c r="I15" s="5725"/>
      <c r="J15" s="5720"/>
      <c r="K15" s="5669"/>
      <c r="L15" s="5669"/>
      <c r="M15" s="900"/>
      <c r="N15" s="5669"/>
      <c r="O15" s="5669"/>
      <c r="P15" s="5669"/>
      <c r="Q15" s="5669"/>
      <c r="R15" s="5669"/>
      <c r="S15" s="5669"/>
      <c r="T15" s="5669"/>
      <c r="U15" s="5669"/>
      <c r="V15" s="5669"/>
      <c r="W15" s="5669"/>
    </row>
    <row r="16" spans="1:30" s="660" customFormat="1" ht="13.5" customHeight="1">
      <c r="A16" s="5726"/>
      <c r="B16" s="5713"/>
      <c r="C16" s="5727"/>
      <c r="D16" s="5714" t="s">
        <v>11785</v>
      </c>
      <c r="E16" s="5714"/>
      <c r="F16" s="5619">
        <v>1</v>
      </c>
      <c r="G16" s="5724"/>
      <c r="H16" s="6003"/>
      <c r="I16" s="5725"/>
      <c r="J16" s="5728"/>
      <c r="K16" s="81"/>
      <c r="L16" s="81"/>
      <c r="M16" s="81"/>
      <c r="N16" s="1200"/>
      <c r="O16" s="81"/>
      <c r="P16" s="808"/>
      <c r="Q16" s="808"/>
      <c r="R16" s="772"/>
      <c r="S16" s="718"/>
    </row>
    <row r="17" spans="1:30" s="660" customFormat="1" ht="13.5" customHeight="1">
      <c r="A17" s="5726"/>
      <c r="B17" s="5713"/>
      <c r="C17" s="5714"/>
      <c r="D17" s="5714" t="s">
        <v>11786</v>
      </c>
      <c r="E17" s="5714"/>
      <c r="F17" s="5619"/>
      <c r="G17" s="5724"/>
      <c r="H17" s="6003"/>
      <c r="I17" s="5729"/>
      <c r="J17" s="5728"/>
      <c r="K17" s="81"/>
      <c r="L17" s="81"/>
      <c r="M17" s="81"/>
      <c r="N17" s="900"/>
      <c r="O17" s="81"/>
      <c r="P17" s="81"/>
      <c r="Q17" s="808"/>
      <c r="R17" s="772"/>
      <c r="S17" s="718"/>
    </row>
    <row r="18" spans="1:30" s="660" customFormat="1" ht="13.5" customHeight="1">
      <c r="A18" s="5726"/>
      <c r="B18" s="5713"/>
      <c r="C18" s="5714"/>
      <c r="D18" s="5714" t="s">
        <v>11787</v>
      </c>
      <c r="E18" s="5714"/>
      <c r="F18" s="5619"/>
      <c r="G18" s="5724"/>
      <c r="H18" s="6003"/>
      <c r="I18" s="5729"/>
      <c r="J18" s="5728"/>
      <c r="K18" s="81"/>
      <c r="L18" s="81"/>
      <c r="M18" s="81"/>
      <c r="Y18" s="1200"/>
      <c r="Z18" s="81"/>
      <c r="AA18" s="81"/>
      <c r="AB18" s="808"/>
      <c r="AC18" s="772"/>
      <c r="AD18" s="718"/>
    </row>
    <row r="19" spans="1:30" s="333" customFormat="1" ht="27" customHeight="1">
      <c r="A19" s="5712">
        <v>3</v>
      </c>
      <c r="B19" s="5713" t="s">
        <v>4103</v>
      </c>
      <c r="C19" s="5714" t="s">
        <v>11791</v>
      </c>
      <c r="D19" s="5715" t="s">
        <v>11792</v>
      </c>
      <c r="E19" s="5716" t="s">
        <v>155</v>
      </c>
      <c r="F19" s="5717">
        <f>SUM(F21)</f>
        <v>1</v>
      </c>
      <c r="G19" s="5718"/>
      <c r="H19" s="6002">
        <f>F19*G19</f>
        <v>0</v>
      </c>
      <c r="I19" s="5719" t="s">
        <v>60</v>
      </c>
      <c r="J19" s="5720"/>
      <c r="K19" s="81"/>
      <c r="L19" s="81"/>
      <c r="M19" s="81"/>
      <c r="N19" s="81"/>
      <c r="O19" s="81"/>
      <c r="P19" s="1200"/>
      <c r="Q19" s="81"/>
      <c r="R19" s="81"/>
      <c r="S19" s="81"/>
      <c r="T19" s="81"/>
      <c r="U19" s="81"/>
      <c r="V19" s="81"/>
      <c r="W19" s="81"/>
      <c r="X19" s="81"/>
      <c r="Y19" s="81"/>
      <c r="Z19" s="81"/>
      <c r="AA19" s="81"/>
      <c r="AB19" s="81"/>
    </row>
    <row r="20" spans="1:30" ht="40.5" customHeight="1">
      <c r="A20" s="5721"/>
      <c r="B20" s="5714"/>
      <c r="C20" s="5714"/>
      <c r="D20" s="5722" t="s">
        <v>11793</v>
      </c>
      <c r="E20" s="5714"/>
      <c r="F20" s="5723"/>
      <c r="G20" s="5724"/>
      <c r="H20" s="6003"/>
      <c r="I20" s="5725"/>
      <c r="J20" s="5720"/>
      <c r="K20" s="5669"/>
      <c r="L20" s="5669"/>
      <c r="M20" s="900"/>
      <c r="N20" s="5669"/>
      <c r="O20" s="5669"/>
      <c r="P20" s="5669"/>
      <c r="Q20" s="5669"/>
      <c r="R20" s="5669"/>
      <c r="S20" s="5669"/>
      <c r="T20" s="5669"/>
      <c r="U20" s="5669"/>
      <c r="V20" s="5669"/>
      <c r="W20" s="5669"/>
    </row>
    <row r="21" spans="1:30" s="660" customFormat="1" ht="13.5" customHeight="1">
      <c r="A21" s="5726"/>
      <c r="B21" s="5713"/>
      <c r="C21" s="5727"/>
      <c r="D21" s="5714" t="s">
        <v>11785</v>
      </c>
      <c r="E21" s="5714"/>
      <c r="F21" s="5619">
        <v>1</v>
      </c>
      <c r="G21" s="5724"/>
      <c r="H21" s="6003"/>
      <c r="I21" s="5725"/>
      <c r="J21" s="5728"/>
      <c r="K21" s="81"/>
      <c r="L21" s="81"/>
      <c r="M21" s="81"/>
      <c r="N21" s="1200"/>
      <c r="O21" s="81"/>
      <c r="P21" s="808"/>
      <c r="Q21" s="808"/>
      <c r="R21" s="772"/>
      <c r="S21" s="718"/>
    </row>
    <row r="22" spans="1:30" s="660" customFormat="1" ht="13.5" customHeight="1">
      <c r="A22" s="5726"/>
      <c r="B22" s="5713"/>
      <c r="C22" s="5714"/>
      <c r="D22" s="5714" t="s">
        <v>11786</v>
      </c>
      <c r="E22" s="5714"/>
      <c r="F22" s="5619"/>
      <c r="G22" s="5724"/>
      <c r="H22" s="6003"/>
      <c r="I22" s="5729"/>
      <c r="J22" s="5728"/>
      <c r="K22" s="81"/>
      <c r="L22" s="81"/>
      <c r="M22" s="81"/>
      <c r="N22" s="900"/>
      <c r="O22" s="81"/>
      <c r="P22" s="81"/>
      <c r="Q22" s="808"/>
      <c r="R22" s="772"/>
      <c r="S22" s="718"/>
    </row>
    <row r="23" spans="1:30" s="660" customFormat="1" ht="13.5" customHeight="1">
      <c r="A23" s="5726"/>
      <c r="B23" s="5713"/>
      <c r="C23" s="5714"/>
      <c r="D23" s="5714" t="s">
        <v>11787</v>
      </c>
      <c r="E23" s="5714"/>
      <c r="F23" s="5619"/>
      <c r="G23" s="5724"/>
      <c r="H23" s="6003"/>
      <c r="I23" s="5729"/>
      <c r="J23" s="5728"/>
      <c r="K23" s="81"/>
      <c r="L23" s="81"/>
      <c r="M23" s="81"/>
      <c r="Y23" s="1200"/>
      <c r="Z23" s="81"/>
      <c r="AA23" s="81"/>
      <c r="AB23" s="808"/>
      <c r="AC23" s="772"/>
      <c r="AD23" s="718"/>
    </row>
    <row r="24" spans="1:30" s="333" customFormat="1" ht="27" customHeight="1">
      <c r="A24" s="5712">
        <v>4</v>
      </c>
      <c r="B24" s="5713" t="s">
        <v>4103</v>
      </c>
      <c r="C24" s="5714" t="s">
        <v>11794</v>
      </c>
      <c r="D24" s="5715" t="s">
        <v>11795</v>
      </c>
      <c r="E24" s="5716" t="s">
        <v>155</v>
      </c>
      <c r="F24" s="5717">
        <f>SUM(F26)</f>
        <v>1</v>
      </c>
      <c r="G24" s="5718"/>
      <c r="H24" s="6002">
        <f>F24*G24</f>
        <v>0</v>
      </c>
      <c r="I24" s="5719" t="s">
        <v>60</v>
      </c>
      <c r="J24" s="5720"/>
      <c r="K24" s="81"/>
      <c r="L24" s="81"/>
      <c r="M24" s="81"/>
      <c r="N24" s="81"/>
      <c r="O24" s="81"/>
      <c r="P24" s="1200"/>
      <c r="Q24" s="81"/>
      <c r="R24" s="81"/>
      <c r="S24" s="81"/>
      <c r="T24" s="81"/>
      <c r="U24" s="81"/>
      <c r="V24" s="81"/>
      <c r="W24" s="81"/>
      <c r="X24" s="81"/>
      <c r="Y24" s="81"/>
      <c r="Z24" s="81"/>
      <c r="AA24" s="81"/>
      <c r="AB24" s="81"/>
    </row>
    <row r="25" spans="1:30" ht="40.5" customHeight="1">
      <c r="A25" s="5721"/>
      <c r="B25" s="5714"/>
      <c r="C25" s="5714"/>
      <c r="D25" s="5722" t="s">
        <v>11784</v>
      </c>
      <c r="E25" s="5714"/>
      <c r="F25" s="5723"/>
      <c r="G25" s="5724"/>
      <c r="H25" s="6003"/>
      <c r="I25" s="5725"/>
      <c r="J25" s="5720"/>
      <c r="K25" s="5669"/>
      <c r="L25" s="5669"/>
      <c r="M25" s="900"/>
      <c r="N25" s="5669"/>
      <c r="O25" s="5669"/>
      <c r="P25" s="5669"/>
      <c r="Q25" s="5669"/>
      <c r="R25" s="5669"/>
      <c r="S25" s="5669"/>
      <c r="T25" s="5669"/>
      <c r="U25" s="5669"/>
      <c r="V25" s="5669"/>
      <c r="W25" s="5669"/>
    </row>
    <row r="26" spans="1:30" s="660" customFormat="1" ht="13.5" customHeight="1">
      <c r="A26" s="5726"/>
      <c r="B26" s="5713"/>
      <c r="C26" s="5727"/>
      <c r="D26" s="5714" t="s">
        <v>11796</v>
      </c>
      <c r="E26" s="5714"/>
      <c r="F26" s="5619">
        <v>1</v>
      </c>
      <c r="G26" s="5724"/>
      <c r="H26" s="6003"/>
      <c r="I26" s="5725"/>
      <c r="J26" s="5728"/>
      <c r="K26" s="81"/>
      <c r="L26" s="81"/>
      <c r="M26" s="81"/>
      <c r="N26" s="1200"/>
      <c r="O26" s="81"/>
      <c r="P26" s="808"/>
      <c r="Q26" s="808"/>
      <c r="R26" s="772"/>
      <c r="S26" s="718"/>
    </row>
    <row r="27" spans="1:30" s="660" customFormat="1" ht="13.5" customHeight="1">
      <c r="A27" s="5726"/>
      <c r="B27" s="5713"/>
      <c r="C27" s="5714"/>
      <c r="D27" s="5714" t="s">
        <v>11786</v>
      </c>
      <c r="E27" s="5714"/>
      <c r="F27" s="5619"/>
      <c r="G27" s="5724"/>
      <c r="H27" s="6003"/>
      <c r="I27" s="5729"/>
      <c r="J27" s="5728"/>
      <c r="K27" s="81"/>
      <c r="L27" s="81"/>
      <c r="M27" s="81"/>
      <c r="N27" s="900"/>
      <c r="O27" s="81"/>
      <c r="P27" s="81"/>
      <c r="Q27" s="808"/>
      <c r="R27" s="772"/>
      <c r="S27" s="718"/>
    </row>
    <row r="28" spans="1:30" s="660" customFormat="1" ht="13.5" customHeight="1">
      <c r="A28" s="5726"/>
      <c r="B28" s="5713"/>
      <c r="C28" s="5714"/>
      <c r="D28" s="5714" t="s">
        <v>11787</v>
      </c>
      <c r="E28" s="5714"/>
      <c r="F28" s="5619"/>
      <c r="G28" s="5724"/>
      <c r="H28" s="6003"/>
      <c r="I28" s="5729"/>
      <c r="J28" s="5728"/>
      <c r="K28" s="81"/>
      <c r="L28" s="81"/>
      <c r="M28" s="81"/>
      <c r="Y28" s="1200"/>
      <c r="Z28" s="81"/>
      <c r="AA28" s="81"/>
      <c r="AB28" s="808"/>
      <c r="AC28" s="772"/>
      <c r="AD28" s="718"/>
    </row>
    <row r="29" spans="1:30" s="333" customFormat="1" ht="27" customHeight="1">
      <c r="A29" s="5712">
        <v>5</v>
      </c>
      <c r="B29" s="5713" t="s">
        <v>4103</v>
      </c>
      <c r="C29" s="5714" t="s">
        <v>11797</v>
      </c>
      <c r="D29" s="5715" t="s">
        <v>11798</v>
      </c>
      <c r="E29" s="5716" t="s">
        <v>155</v>
      </c>
      <c r="F29" s="5717">
        <f>SUM(F31)</f>
        <v>1</v>
      </c>
      <c r="G29" s="5718"/>
      <c r="H29" s="6002">
        <f>F29*G29</f>
        <v>0</v>
      </c>
      <c r="I29" s="5719" t="s">
        <v>60</v>
      </c>
      <c r="J29" s="5720"/>
      <c r="K29" s="81"/>
      <c r="L29" s="81"/>
      <c r="M29" s="81"/>
      <c r="N29" s="81"/>
      <c r="O29" s="81"/>
      <c r="P29" s="1200"/>
      <c r="Q29" s="81"/>
      <c r="R29" s="81"/>
      <c r="S29" s="81"/>
      <c r="T29" s="81"/>
      <c r="U29" s="81"/>
      <c r="V29" s="81"/>
      <c r="W29" s="81"/>
      <c r="X29" s="81"/>
      <c r="Y29" s="81"/>
      <c r="Z29" s="81"/>
      <c r="AA29" s="81"/>
      <c r="AB29" s="81"/>
    </row>
    <row r="30" spans="1:30" ht="40.5" customHeight="1">
      <c r="A30" s="5721"/>
      <c r="B30" s="5714"/>
      <c r="C30" s="5714"/>
      <c r="D30" s="5722" t="s">
        <v>11799</v>
      </c>
      <c r="E30" s="5714"/>
      <c r="F30" s="5723"/>
      <c r="G30" s="5724"/>
      <c r="H30" s="6003"/>
      <c r="I30" s="5725"/>
      <c r="J30" s="5720"/>
      <c r="K30" s="5669"/>
      <c r="L30" s="5669"/>
      <c r="M30" s="900"/>
      <c r="N30" s="5669"/>
      <c r="O30" s="5669"/>
      <c r="P30" s="5669"/>
      <c r="Q30" s="5669"/>
      <c r="R30" s="5669"/>
      <c r="S30" s="5669"/>
      <c r="T30" s="5669"/>
      <c r="U30" s="5669"/>
      <c r="V30" s="5669"/>
      <c r="W30" s="5669"/>
    </row>
    <row r="31" spans="1:30" s="660" customFormat="1" ht="13.5" customHeight="1">
      <c r="A31" s="5726"/>
      <c r="B31" s="5713"/>
      <c r="C31" s="5727"/>
      <c r="D31" s="5714" t="s">
        <v>11800</v>
      </c>
      <c r="E31" s="5714"/>
      <c r="F31" s="5619">
        <v>1</v>
      </c>
      <c r="G31" s="5724"/>
      <c r="H31" s="6003"/>
      <c r="I31" s="5725"/>
      <c r="J31" s="5728"/>
      <c r="K31" s="81"/>
      <c r="L31" s="81"/>
      <c r="M31" s="81"/>
      <c r="N31" s="1200"/>
      <c r="O31" s="81"/>
      <c r="P31" s="808"/>
      <c r="Q31" s="808"/>
      <c r="R31" s="772"/>
      <c r="S31" s="718"/>
    </row>
    <row r="32" spans="1:30" s="660" customFormat="1" ht="13.5" customHeight="1">
      <c r="A32" s="5726"/>
      <c r="B32" s="5713"/>
      <c r="C32" s="5714"/>
      <c r="D32" s="5714" t="s">
        <v>11786</v>
      </c>
      <c r="E32" s="5714"/>
      <c r="F32" s="5619"/>
      <c r="G32" s="5724"/>
      <c r="H32" s="6003"/>
      <c r="I32" s="5729"/>
      <c r="J32" s="5728"/>
      <c r="K32" s="81"/>
      <c r="L32" s="81"/>
      <c r="M32" s="81"/>
      <c r="N32" s="900"/>
      <c r="O32" s="81"/>
      <c r="P32" s="81"/>
      <c r="Q32" s="808"/>
      <c r="R32" s="772"/>
      <c r="S32" s="718"/>
    </row>
    <row r="33" spans="1:30" s="660" customFormat="1" ht="13.5" customHeight="1">
      <c r="A33" s="5726"/>
      <c r="B33" s="5713"/>
      <c r="C33" s="5714"/>
      <c r="D33" s="5714" t="s">
        <v>11787</v>
      </c>
      <c r="E33" s="5714"/>
      <c r="F33" s="5619"/>
      <c r="G33" s="5724"/>
      <c r="H33" s="6003"/>
      <c r="I33" s="5729"/>
      <c r="J33" s="5728"/>
      <c r="K33" s="81"/>
      <c r="L33" s="81"/>
      <c r="M33" s="81"/>
      <c r="Y33" s="1200"/>
      <c r="Z33" s="81"/>
      <c r="AA33" s="81"/>
      <c r="AB33" s="808"/>
      <c r="AC33" s="772"/>
      <c r="AD33" s="718"/>
    </row>
    <row r="34" spans="1:30" s="333" customFormat="1" ht="27" customHeight="1">
      <c r="A34" s="5712">
        <v>6</v>
      </c>
      <c r="B34" s="5713" t="s">
        <v>4103</v>
      </c>
      <c r="C34" s="5714" t="s">
        <v>11801</v>
      </c>
      <c r="D34" s="5715" t="s">
        <v>11802</v>
      </c>
      <c r="E34" s="5716" t="s">
        <v>155</v>
      </c>
      <c r="F34" s="5717">
        <f>SUM(F36)</f>
        <v>1</v>
      </c>
      <c r="G34" s="5718"/>
      <c r="H34" s="6002">
        <f>F34*G34</f>
        <v>0</v>
      </c>
      <c r="I34" s="5719" t="s">
        <v>60</v>
      </c>
      <c r="J34" s="5720"/>
      <c r="K34" s="81"/>
      <c r="L34" s="81"/>
      <c r="M34" s="81"/>
      <c r="N34" s="81"/>
      <c r="O34" s="81"/>
      <c r="P34" s="1200"/>
      <c r="Q34" s="81"/>
      <c r="R34" s="81"/>
      <c r="S34" s="81"/>
      <c r="T34" s="81"/>
      <c r="U34" s="81"/>
      <c r="V34" s="81"/>
      <c r="W34" s="81"/>
      <c r="X34" s="81"/>
      <c r="Y34" s="81"/>
      <c r="Z34" s="81"/>
      <c r="AA34" s="81"/>
      <c r="AB34" s="81"/>
    </row>
    <row r="35" spans="1:30" ht="40.5" customHeight="1">
      <c r="A35" s="5721"/>
      <c r="B35" s="5714"/>
      <c r="C35" s="5714"/>
      <c r="D35" s="5722" t="s">
        <v>11803</v>
      </c>
      <c r="E35" s="5714"/>
      <c r="F35" s="5723"/>
      <c r="G35" s="5724"/>
      <c r="H35" s="6003"/>
      <c r="I35" s="5725"/>
      <c r="J35" s="5720"/>
      <c r="K35" s="5669"/>
      <c r="L35" s="5669"/>
      <c r="M35" s="900"/>
      <c r="N35" s="5669"/>
      <c r="O35" s="5669"/>
      <c r="P35" s="5669"/>
      <c r="Q35" s="5669"/>
      <c r="R35" s="5669"/>
      <c r="S35" s="5669"/>
      <c r="T35" s="5669"/>
      <c r="U35" s="5669"/>
      <c r="V35" s="5669"/>
      <c r="W35" s="5669"/>
    </row>
    <row r="36" spans="1:30" s="660" customFormat="1" ht="13.5" customHeight="1">
      <c r="A36" s="5726"/>
      <c r="B36" s="5713"/>
      <c r="C36" s="5727"/>
      <c r="D36" s="5714" t="s">
        <v>11804</v>
      </c>
      <c r="E36" s="5714"/>
      <c r="F36" s="5619">
        <v>1</v>
      </c>
      <c r="G36" s="5724"/>
      <c r="H36" s="6003"/>
      <c r="I36" s="5725"/>
      <c r="J36" s="5728"/>
      <c r="K36" s="81"/>
      <c r="L36" s="81"/>
      <c r="M36" s="81"/>
      <c r="N36" s="1200"/>
      <c r="O36" s="81"/>
      <c r="P36" s="808"/>
      <c r="Q36" s="808"/>
      <c r="R36" s="772"/>
      <c r="S36" s="718"/>
    </row>
    <row r="37" spans="1:30" s="660" customFormat="1" ht="13.5" customHeight="1">
      <c r="A37" s="5726"/>
      <c r="B37" s="5713"/>
      <c r="C37" s="5714"/>
      <c r="D37" s="5714" t="s">
        <v>11805</v>
      </c>
      <c r="E37" s="5714"/>
      <c r="F37" s="5619"/>
      <c r="G37" s="5724"/>
      <c r="H37" s="6003"/>
      <c r="I37" s="5729"/>
      <c r="J37" s="5728"/>
      <c r="K37" s="81"/>
      <c r="L37" s="81"/>
      <c r="M37" s="81"/>
      <c r="N37" s="900"/>
      <c r="O37" s="81"/>
      <c r="P37" s="81"/>
      <c r="Q37" s="808"/>
      <c r="R37" s="772"/>
      <c r="S37" s="718"/>
    </row>
    <row r="38" spans="1:30" s="660" customFormat="1" ht="13.5" customHeight="1">
      <c r="A38" s="5726"/>
      <c r="B38" s="5713"/>
      <c r="C38" s="5714"/>
      <c r="D38" s="5714" t="s">
        <v>11787</v>
      </c>
      <c r="E38" s="5714"/>
      <c r="F38" s="5619"/>
      <c r="G38" s="5724"/>
      <c r="H38" s="6003"/>
      <c r="I38" s="5729"/>
      <c r="J38" s="5728"/>
      <c r="K38" s="81"/>
      <c r="L38" s="81"/>
      <c r="M38" s="81"/>
      <c r="Y38" s="1200"/>
      <c r="Z38" s="81"/>
      <c r="AA38" s="81"/>
      <c r="AB38" s="808"/>
      <c r="AC38" s="772"/>
      <c r="AD38" s="718"/>
    </row>
    <row r="39" spans="1:30" s="333" customFormat="1" ht="27" customHeight="1">
      <c r="A39" s="5712">
        <v>7</v>
      </c>
      <c r="B39" s="5713" t="s">
        <v>4103</v>
      </c>
      <c r="C39" s="5714" t="s">
        <v>11806</v>
      </c>
      <c r="D39" s="5715" t="s">
        <v>11807</v>
      </c>
      <c r="E39" s="5716" t="s">
        <v>155</v>
      </c>
      <c r="F39" s="5717">
        <f>SUM(F41)</f>
        <v>1</v>
      </c>
      <c r="G39" s="5718"/>
      <c r="H39" s="6002">
        <f>F39*G39</f>
        <v>0</v>
      </c>
      <c r="I39" s="5719" t="s">
        <v>60</v>
      </c>
      <c r="J39" s="5720"/>
      <c r="K39" s="81"/>
      <c r="L39" s="81"/>
      <c r="M39" s="81"/>
      <c r="N39" s="81"/>
      <c r="O39" s="81"/>
      <c r="P39" s="1200"/>
      <c r="Q39" s="81"/>
      <c r="R39" s="81"/>
      <c r="S39" s="81"/>
      <c r="T39" s="81"/>
      <c r="U39" s="81"/>
      <c r="V39" s="81"/>
      <c r="W39" s="81"/>
      <c r="X39" s="81"/>
      <c r="Y39" s="81"/>
      <c r="Z39" s="81"/>
      <c r="AA39" s="81"/>
      <c r="AB39" s="81"/>
    </row>
    <row r="40" spans="1:30" ht="40.5" customHeight="1">
      <c r="A40" s="5721"/>
      <c r="B40" s="5714"/>
      <c r="C40" s="5714"/>
      <c r="D40" s="5722" t="s">
        <v>11803</v>
      </c>
      <c r="E40" s="5714"/>
      <c r="F40" s="5723"/>
      <c r="G40" s="5724"/>
      <c r="H40" s="6003"/>
      <c r="I40" s="5725"/>
      <c r="J40" s="5720"/>
      <c r="K40" s="5669"/>
      <c r="L40" s="5669"/>
      <c r="M40" s="900"/>
      <c r="N40" s="5669"/>
      <c r="O40" s="5669"/>
      <c r="P40" s="5669"/>
      <c r="Q40" s="5669"/>
      <c r="R40" s="5669"/>
      <c r="S40" s="5669"/>
      <c r="T40" s="5669"/>
      <c r="U40" s="5669"/>
      <c r="V40" s="5669"/>
      <c r="W40" s="5669"/>
    </row>
    <row r="41" spans="1:30" s="660" customFormat="1" ht="13.5" customHeight="1">
      <c r="A41" s="5726"/>
      <c r="B41" s="5713"/>
      <c r="C41" s="5727"/>
      <c r="D41" s="5714" t="s">
        <v>11804</v>
      </c>
      <c r="E41" s="5714"/>
      <c r="F41" s="5619">
        <v>1</v>
      </c>
      <c r="G41" s="5724"/>
      <c r="H41" s="6003"/>
      <c r="I41" s="5725"/>
      <c r="J41" s="5728"/>
      <c r="K41" s="81"/>
      <c r="L41" s="81"/>
      <c r="M41" s="81"/>
      <c r="N41" s="1200"/>
      <c r="O41" s="81"/>
      <c r="P41" s="808"/>
      <c r="Q41" s="808"/>
      <c r="R41" s="772"/>
      <c r="S41" s="718"/>
    </row>
    <row r="42" spans="1:30" s="660" customFormat="1" ht="13.5" customHeight="1">
      <c r="A42" s="5726"/>
      <c r="B42" s="5713"/>
      <c r="C42" s="5714"/>
      <c r="D42" s="5714" t="s">
        <v>11805</v>
      </c>
      <c r="E42" s="5714"/>
      <c r="F42" s="5619"/>
      <c r="G42" s="5724"/>
      <c r="H42" s="6003"/>
      <c r="I42" s="5729"/>
      <c r="J42" s="5728"/>
      <c r="K42" s="81"/>
      <c r="L42" s="81"/>
      <c r="M42" s="81"/>
      <c r="N42" s="900"/>
      <c r="O42" s="81"/>
      <c r="P42" s="81"/>
      <c r="Q42" s="808"/>
      <c r="R42" s="772"/>
      <c r="S42" s="718"/>
    </row>
    <row r="43" spans="1:30" s="660" customFormat="1" ht="13.5" customHeight="1">
      <c r="A43" s="5726"/>
      <c r="B43" s="5713"/>
      <c r="C43" s="5714"/>
      <c r="D43" s="5714" t="s">
        <v>11787</v>
      </c>
      <c r="E43" s="5714"/>
      <c r="F43" s="5619"/>
      <c r="G43" s="5724"/>
      <c r="H43" s="6003"/>
      <c r="I43" s="5729"/>
      <c r="J43" s="5728"/>
      <c r="K43" s="81"/>
      <c r="L43" s="81"/>
      <c r="M43" s="81"/>
      <c r="Y43" s="1200"/>
      <c r="Z43" s="81"/>
      <c r="AA43" s="81"/>
      <c r="AB43" s="808"/>
      <c r="AC43" s="772"/>
      <c r="AD43" s="718"/>
    </row>
    <row r="44" spans="1:30" s="333" customFormat="1" ht="27" customHeight="1">
      <c r="A44" s="5712">
        <v>8</v>
      </c>
      <c r="B44" s="5713" t="s">
        <v>4103</v>
      </c>
      <c r="C44" s="5714" t="s">
        <v>11808</v>
      </c>
      <c r="D44" s="5715" t="s">
        <v>11809</v>
      </c>
      <c r="E44" s="5716" t="s">
        <v>155</v>
      </c>
      <c r="F44" s="5717">
        <f>SUM(F46)</f>
        <v>1</v>
      </c>
      <c r="G44" s="5718"/>
      <c r="H44" s="6002">
        <f>F44*G44</f>
        <v>0</v>
      </c>
      <c r="I44" s="5719" t="s">
        <v>60</v>
      </c>
      <c r="J44" s="5720"/>
      <c r="K44" s="81"/>
      <c r="L44" s="81"/>
      <c r="M44" s="81"/>
      <c r="N44" s="81"/>
      <c r="O44" s="81"/>
      <c r="P44" s="1200"/>
      <c r="Q44" s="81"/>
      <c r="R44" s="81"/>
      <c r="S44" s="81"/>
      <c r="T44" s="81"/>
      <c r="U44" s="81"/>
      <c r="V44" s="81"/>
      <c r="W44" s="81"/>
      <c r="X44" s="81"/>
      <c r="Y44" s="81"/>
      <c r="Z44" s="81"/>
      <c r="AA44" s="81"/>
      <c r="AB44" s="81"/>
    </row>
    <row r="45" spans="1:30" ht="40.5" customHeight="1">
      <c r="A45" s="5721"/>
      <c r="B45" s="5714"/>
      <c r="C45" s="5714"/>
      <c r="D45" s="5722" t="s">
        <v>11810</v>
      </c>
      <c r="E45" s="5714"/>
      <c r="F45" s="5723"/>
      <c r="G45" s="5724"/>
      <c r="H45" s="6003"/>
      <c r="I45" s="5725"/>
      <c r="J45" s="5720"/>
      <c r="K45" s="5669"/>
      <c r="L45" s="5669"/>
      <c r="M45" s="900"/>
      <c r="N45" s="5669"/>
      <c r="O45" s="5669"/>
      <c r="P45" s="5669"/>
      <c r="Q45" s="5669"/>
      <c r="R45" s="5669"/>
      <c r="S45" s="5669"/>
      <c r="T45" s="5669"/>
      <c r="U45" s="5669"/>
      <c r="V45" s="5669"/>
      <c r="W45" s="5669"/>
    </row>
    <row r="46" spans="1:30" s="660" customFormat="1" ht="13.5" customHeight="1">
      <c r="A46" s="5726"/>
      <c r="B46" s="5713"/>
      <c r="C46" s="5727"/>
      <c r="D46" s="5714" t="s">
        <v>11804</v>
      </c>
      <c r="E46" s="5714"/>
      <c r="F46" s="5619">
        <v>1</v>
      </c>
      <c r="G46" s="5724"/>
      <c r="H46" s="6003"/>
      <c r="I46" s="5725"/>
      <c r="J46" s="5728"/>
      <c r="K46" s="81"/>
      <c r="L46" s="81"/>
      <c r="M46" s="81"/>
      <c r="N46" s="1200"/>
      <c r="O46" s="81"/>
      <c r="P46" s="808"/>
      <c r="Q46" s="808"/>
      <c r="R46" s="772"/>
      <c r="S46" s="718"/>
    </row>
    <row r="47" spans="1:30" s="660" customFormat="1" ht="13.5" customHeight="1">
      <c r="A47" s="5726"/>
      <c r="B47" s="5713"/>
      <c r="C47" s="5714"/>
      <c r="D47" s="5714" t="s">
        <v>11805</v>
      </c>
      <c r="E47" s="5714"/>
      <c r="F47" s="5619"/>
      <c r="G47" s="5724"/>
      <c r="H47" s="6003"/>
      <c r="I47" s="5729"/>
      <c r="J47" s="5728"/>
      <c r="K47" s="81"/>
      <c r="L47" s="81"/>
      <c r="M47" s="81"/>
      <c r="N47" s="900"/>
      <c r="O47" s="81"/>
      <c r="P47" s="81"/>
      <c r="Q47" s="808"/>
      <c r="R47" s="772"/>
      <c r="S47" s="718"/>
    </row>
    <row r="48" spans="1:30" s="660" customFormat="1" ht="13.5" customHeight="1">
      <c r="A48" s="5726"/>
      <c r="B48" s="5713"/>
      <c r="C48" s="5714"/>
      <c r="D48" s="5714" t="s">
        <v>11787</v>
      </c>
      <c r="E48" s="5714"/>
      <c r="F48" s="5619"/>
      <c r="G48" s="5724"/>
      <c r="H48" s="6003"/>
      <c r="I48" s="5729"/>
      <c r="J48" s="5728"/>
      <c r="K48" s="81"/>
      <c r="L48" s="81"/>
      <c r="M48" s="81"/>
      <c r="Y48" s="1200"/>
      <c r="Z48" s="81"/>
      <c r="AA48" s="81"/>
      <c r="AB48" s="808"/>
      <c r="AC48" s="772"/>
      <c r="AD48" s="718"/>
    </row>
    <row r="49" spans="1:30" s="333" customFormat="1" ht="27" customHeight="1">
      <c r="A49" s="5712">
        <v>9</v>
      </c>
      <c r="B49" s="5713" t="s">
        <v>4103</v>
      </c>
      <c r="C49" s="5714" t="s">
        <v>11811</v>
      </c>
      <c r="D49" s="5715" t="s">
        <v>11812</v>
      </c>
      <c r="E49" s="5716" t="s">
        <v>155</v>
      </c>
      <c r="F49" s="5717">
        <f>SUM(F51)</f>
        <v>1</v>
      </c>
      <c r="G49" s="5718"/>
      <c r="H49" s="6002">
        <f>F49*G49</f>
        <v>0</v>
      </c>
      <c r="I49" s="5719" t="s">
        <v>60</v>
      </c>
      <c r="J49" s="5720"/>
      <c r="K49" s="81"/>
      <c r="L49" s="81"/>
      <c r="M49" s="81"/>
      <c r="N49" s="81"/>
      <c r="O49" s="81"/>
      <c r="P49" s="1200"/>
      <c r="Q49" s="81"/>
      <c r="R49" s="81"/>
      <c r="S49" s="81"/>
      <c r="T49" s="81"/>
      <c r="U49" s="81"/>
      <c r="V49" s="81"/>
      <c r="W49" s="81"/>
      <c r="X49" s="81"/>
      <c r="Y49" s="81"/>
      <c r="Z49" s="81"/>
      <c r="AA49" s="81"/>
      <c r="AB49" s="81"/>
    </row>
    <row r="50" spans="1:30" ht="40.5" customHeight="1">
      <c r="A50" s="5721"/>
      <c r="B50" s="5714"/>
      <c r="C50" s="5714"/>
      <c r="D50" s="5722" t="s">
        <v>11813</v>
      </c>
      <c r="E50" s="5714"/>
      <c r="F50" s="5723"/>
      <c r="G50" s="5724"/>
      <c r="H50" s="6003"/>
      <c r="I50" s="5725"/>
      <c r="J50" s="5720"/>
      <c r="K50" s="5669"/>
      <c r="L50" s="5669"/>
      <c r="M50" s="900"/>
      <c r="N50" s="5669"/>
      <c r="O50" s="5669"/>
      <c r="P50" s="5669"/>
      <c r="Q50" s="5669"/>
      <c r="R50" s="5669"/>
      <c r="S50" s="5669"/>
      <c r="T50" s="5669"/>
      <c r="U50" s="5669"/>
      <c r="V50" s="5669"/>
      <c r="W50" s="5669"/>
    </row>
    <row r="51" spans="1:30" s="660" customFormat="1" ht="13.5" customHeight="1">
      <c r="A51" s="5726"/>
      <c r="B51" s="5713"/>
      <c r="C51" s="5727"/>
      <c r="D51" s="5714" t="s">
        <v>11804</v>
      </c>
      <c r="E51" s="5714"/>
      <c r="F51" s="5619">
        <v>1</v>
      </c>
      <c r="G51" s="5724"/>
      <c r="H51" s="6003"/>
      <c r="I51" s="5725"/>
      <c r="J51" s="5728"/>
      <c r="K51" s="81"/>
      <c r="L51" s="81"/>
      <c r="M51" s="81"/>
      <c r="N51" s="1200"/>
      <c r="O51" s="81"/>
      <c r="P51" s="808"/>
      <c r="Q51" s="808"/>
      <c r="R51" s="772"/>
      <c r="S51" s="718"/>
    </row>
    <row r="52" spans="1:30" s="660" customFormat="1" ht="13.5" customHeight="1">
      <c r="A52" s="5726"/>
      <c r="B52" s="5713"/>
      <c r="C52" s="5714"/>
      <c r="D52" s="5714" t="s">
        <v>11805</v>
      </c>
      <c r="E52" s="5714"/>
      <c r="F52" s="5619"/>
      <c r="G52" s="5724"/>
      <c r="H52" s="6003"/>
      <c r="I52" s="5729"/>
      <c r="J52" s="5728"/>
      <c r="K52" s="81"/>
      <c r="L52" s="81"/>
      <c r="M52" s="81"/>
      <c r="N52" s="900"/>
      <c r="O52" s="81"/>
      <c r="P52" s="81"/>
      <c r="Q52" s="808"/>
      <c r="R52" s="772"/>
      <c r="S52" s="718"/>
    </row>
    <row r="53" spans="1:30" s="660" customFormat="1" ht="13.5" customHeight="1">
      <c r="A53" s="5726"/>
      <c r="B53" s="5713"/>
      <c r="C53" s="5714"/>
      <c r="D53" s="5714" t="s">
        <v>11787</v>
      </c>
      <c r="E53" s="5714"/>
      <c r="F53" s="5619"/>
      <c r="G53" s="5724"/>
      <c r="H53" s="6003"/>
      <c r="I53" s="5729"/>
      <c r="J53" s="5728"/>
      <c r="K53" s="81"/>
      <c r="L53" s="81"/>
      <c r="M53" s="81"/>
      <c r="Y53" s="1200"/>
      <c r="Z53" s="81"/>
      <c r="AA53" s="81"/>
      <c r="AB53" s="808"/>
      <c r="AC53" s="772"/>
      <c r="AD53" s="718"/>
    </row>
    <row r="54" spans="1:30" s="333" customFormat="1" ht="27" customHeight="1">
      <c r="A54" s="5712">
        <v>10</v>
      </c>
      <c r="B54" s="5713" t="s">
        <v>4103</v>
      </c>
      <c r="C54" s="5714" t="s">
        <v>11811</v>
      </c>
      <c r="D54" s="5715" t="s">
        <v>11814</v>
      </c>
      <c r="E54" s="5716" t="s">
        <v>155</v>
      </c>
      <c r="F54" s="5717">
        <f>SUM(F56)</f>
        <v>1</v>
      </c>
      <c r="G54" s="5718"/>
      <c r="H54" s="6002">
        <f>F54*G54</f>
        <v>0</v>
      </c>
      <c r="I54" s="5719" t="s">
        <v>60</v>
      </c>
      <c r="J54" s="5720"/>
      <c r="K54" s="81"/>
      <c r="L54" s="81"/>
      <c r="M54" s="81"/>
      <c r="N54" s="81"/>
      <c r="O54" s="81"/>
      <c r="P54" s="1200"/>
      <c r="Q54" s="81"/>
      <c r="R54" s="81"/>
      <c r="S54" s="81"/>
      <c r="T54" s="81"/>
      <c r="U54" s="81"/>
      <c r="V54" s="81"/>
      <c r="W54" s="81"/>
      <c r="X54" s="81"/>
      <c r="Y54" s="81"/>
      <c r="Z54" s="81"/>
      <c r="AA54" s="81"/>
      <c r="AB54" s="81"/>
    </row>
    <row r="55" spans="1:30" ht="40.5" customHeight="1">
      <c r="A55" s="5721"/>
      <c r="B55" s="5714"/>
      <c r="C55" s="5714"/>
      <c r="D55" s="5722" t="s">
        <v>11813</v>
      </c>
      <c r="E55" s="5714"/>
      <c r="F55" s="5723"/>
      <c r="G55" s="5724"/>
      <c r="H55" s="6003"/>
      <c r="I55" s="5725"/>
      <c r="J55" s="5720"/>
      <c r="K55" s="5669"/>
      <c r="L55" s="5669"/>
      <c r="M55" s="900"/>
      <c r="N55" s="5669"/>
      <c r="O55" s="5669"/>
      <c r="P55" s="5669"/>
      <c r="Q55" s="5669"/>
      <c r="R55" s="5669"/>
      <c r="S55" s="5669"/>
      <c r="T55" s="5669"/>
      <c r="U55" s="5669"/>
      <c r="V55" s="5669"/>
      <c r="W55" s="5669"/>
    </row>
    <row r="56" spans="1:30" s="660" customFormat="1" ht="13.5" customHeight="1">
      <c r="A56" s="5726"/>
      <c r="B56" s="5713"/>
      <c r="C56" s="5727"/>
      <c r="D56" s="5714" t="s">
        <v>11804</v>
      </c>
      <c r="E56" s="5714"/>
      <c r="F56" s="5619">
        <v>1</v>
      </c>
      <c r="G56" s="5724"/>
      <c r="H56" s="6003"/>
      <c r="I56" s="5725"/>
      <c r="J56" s="5728"/>
      <c r="K56" s="81"/>
      <c r="L56" s="81"/>
      <c r="M56" s="81"/>
      <c r="N56" s="1200"/>
      <c r="O56" s="81"/>
      <c r="P56" s="808"/>
      <c r="Q56" s="808"/>
      <c r="R56" s="772"/>
      <c r="S56" s="718"/>
    </row>
    <row r="57" spans="1:30" s="660" customFormat="1" ht="13.5" customHeight="1">
      <c r="A57" s="5726"/>
      <c r="B57" s="5713"/>
      <c r="C57" s="5714"/>
      <c r="D57" s="5714" t="s">
        <v>11805</v>
      </c>
      <c r="E57" s="5714"/>
      <c r="F57" s="5619"/>
      <c r="G57" s="5724"/>
      <c r="H57" s="6003"/>
      <c r="I57" s="5729"/>
      <c r="J57" s="5728"/>
      <c r="K57" s="81"/>
      <c r="L57" s="81"/>
      <c r="M57" s="81"/>
      <c r="N57" s="900"/>
      <c r="O57" s="81"/>
      <c r="P57" s="81"/>
      <c r="Q57" s="808"/>
      <c r="R57" s="772"/>
      <c r="S57" s="718"/>
    </row>
    <row r="58" spans="1:30" s="660" customFormat="1" ht="13.5" customHeight="1">
      <c r="A58" s="5726"/>
      <c r="B58" s="5713"/>
      <c r="C58" s="5714"/>
      <c r="D58" s="5714" t="s">
        <v>11787</v>
      </c>
      <c r="E58" s="5714"/>
      <c r="F58" s="5619"/>
      <c r="G58" s="5724"/>
      <c r="H58" s="6003"/>
      <c r="I58" s="5729"/>
      <c r="J58" s="5728"/>
      <c r="K58" s="81"/>
      <c r="L58" s="81"/>
      <c r="M58" s="81"/>
      <c r="Y58" s="1200"/>
      <c r="Z58" s="81"/>
      <c r="AA58" s="81"/>
      <c r="AB58" s="808"/>
      <c r="AC58" s="772"/>
      <c r="AD58" s="718"/>
    </row>
    <row r="59" spans="1:30" s="333" customFormat="1" ht="40.5" customHeight="1">
      <c r="A59" s="5712">
        <v>11</v>
      </c>
      <c r="B59" s="5713" t="s">
        <v>4103</v>
      </c>
      <c r="C59" s="5714" t="s">
        <v>11815</v>
      </c>
      <c r="D59" s="5715" t="s">
        <v>11816</v>
      </c>
      <c r="E59" s="5716" t="s">
        <v>155</v>
      </c>
      <c r="F59" s="5717">
        <f>SUM(F61:F61)</f>
        <v>1</v>
      </c>
      <c r="G59" s="5718"/>
      <c r="H59" s="6002">
        <f>F59*G59</f>
        <v>0</v>
      </c>
      <c r="I59" s="5719" t="s">
        <v>60</v>
      </c>
      <c r="J59" s="5730"/>
      <c r="K59" s="1325"/>
    </row>
    <row r="60" spans="1:30" ht="54" customHeight="1">
      <c r="A60" s="5721"/>
      <c r="B60" s="5714"/>
      <c r="C60" s="5714"/>
      <c r="D60" s="5722" t="s">
        <v>11817</v>
      </c>
      <c r="E60" s="5714"/>
      <c r="F60" s="5731"/>
      <c r="G60" s="5724"/>
      <c r="H60" s="6003"/>
      <c r="I60" s="5732"/>
      <c r="J60" s="5733"/>
      <c r="K60" s="1486"/>
      <c r="L60" s="5669"/>
      <c r="M60" s="5669"/>
      <c r="N60" s="5669"/>
      <c r="O60" s="5669"/>
      <c r="P60" s="5669"/>
      <c r="Q60" s="5669"/>
      <c r="R60" s="5669"/>
      <c r="S60" s="5669"/>
      <c r="T60" s="5669"/>
      <c r="U60" s="5669"/>
      <c r="V60" s="5669"/>
    </row>
    <row r="61" spans="1:30" s="660" customFormat="1" ht="13.5" customHeight="1">
      <c r="A61" s="5726"/>
      <c r="B61" s="5713"/>
      <c r="C61" s="5714"/>
      <c r="D61" s="5714" t="s">
        <v>11818</v>
      </c>
      <c r="E61" s="5714"/>
      <c r="F61" s="5619">
        <v>1</v>
      </c>
      <c r="G61" s="5724"/>
      <c r="H61" s="6003"/>
      <c r="I61" s="5732"/>
      <c r="J61" s="5734"/>
      <c r="K61" s="1486"/>
      <c r="L61" s="5669"/>
      <c r="M61" s="5669"/>
      <c r="N61" s="5669"/>
      <c r="O61" s="5669"/>
      <c r="P61" s="5669"/>
      <c r="Q61" s="5669"/>
      <c r="R61" s="5669"/>
      <c r="S61" s="5669"/>
      <c r="T61" s="5669"/>
      <c r="U61" s="5669"/>
      <c r="V61" s="5669"/>
      <c r="W61" s="81"/>
    </row>
    <row r="62" spans="1:30" s="660" customFormat="1" ht="13.5" customHeight="1">
      <c r="A62" s="5726"/>
      <c r="B62" s="5713"/>
      <c r="C62" s="5714"/>
      <c r="D62" s="5714" t="s">
        <v>11786</v>
      </c>
      <c r="E62" s="5714"/>
      <c r="F62" s="5619"/>
      <c r="G62" s="5724"/>
      <c r="H62" s="6003"/>
      <c r="I62" s="5729"/>
      <c r="J62" s="5728"/>
      <c r="K62" s="81"/>
      <c r="L62" s="81"/>
      <c r="M62" s="81"/>
      <c r="N62" s="900"/>
      <c r="O62" s="81"/>
      <c r="P62" s="81"/>
      <c r="Q62" s="808"/>
      <c r="R62" s="772"/>
      <c r="S62" s="718"/>
    </row>
    <row r="63" spans="1:30" s="660" customFormat="1" ht="13.5" customHeight="1">
      <c r="A63" s="5726"/>
      <c r="B63" s="5713"/>
      <c r="C63" s="5714"/>
      <c r="D63" s="5714" t="s">
        <v>11819</v>
      </c>
      <c r="E63" s="5714"/>
      <c r="F63" s="5619"/>
      <c r="G63" s="5724"/>
      <c r="H63" s="6003"/>
      <c r="I63" s="5729"/>
      <c r="J63" s="5735"/>
      <c r="K63" s="1618"/>
      <c r="L63" s="808"/>
      <c r="M63" s="808"/>
      <c r="N63" s="808"/>
      <c r="O63" s="808"/>
      <c r="P63" s="808"/>
      <c r="Q63" s="808"/>
      <c r="R63" s="772"/>
      <c r="S63" s="718"/>
    </row>
    <row r="64" spans="1:30" s="660" customFormat="1" ht="13.5" customHeight="1">
      <c r="A64" s="5726"/>
      <c r="B64" s="5713"/>
      <c r="C64" s="5714"/>
      <c r="D64" s="5714" t="s">
        <v>11820</v>
      </c>
      <c r="E64" s="5714"/>
      <c r="F64" s="5619"/>
      <c r="G64" s="5724"/>
      <c r="H64" s="6003"/>
      <c r="I64" s="5729"/>
      <c r="J64" s="5735"/>
      <c r="K64" s="5670"/>
      <c r="L64" s="5671"/>
      <c r="M64" s="5671"/>
      <c r="N64" s="5671"/>
      <c r="O64" s="808"/>
      <c r="P64" s="808"/>
      <c r="Q64" s="808"/>
      <c r="R64" s="772"/>
      <c r="S64" s="718"/>
    </row>
    <row r="65" spans="1:23" s="333" customFormat="1" ht="40.5" customHeight="1">
      <c r="A65" s="5712">
        <v>12</v>
      </c>
      <c r="B65" s="5713" t="s">
        <v>4103</v>
      </c>
      <c r="C65" s="5714" t="s">
        <v>11821</v>
      </c>
      <c r="D65" s="5715" t="s">
        <v>11822</v>
      </c>
      <c r="E65" s="5716" t="s">
        <v>155</v>
      </c>
      <c r="F65" s="5717">
        <f>SUM(F67:F67)</f>
        <v>1</v>
      </c>
      <c r="G65" s="5718"/>
      <c r="H65" s="6002">
        <f>F65*G65</f>
        <v>0</v>
      </c>
      <c r="I65" s="5719" t="s">
        <v>60</v>
      </c>
      <c r="J65" s="5730"/>
      <c r="K65" s="1325"/>
    </row>
    <row r="66" spans="1:23" ht="54" customHeight="1">
      <c r="A66" s="5721"/>
      <c r="B66" s="5714"/>
      <c r="C66" s="5714"/>
      <c r="D66" s="5722" t="s">
        <v>11823</v>
      </c>
      <c r="E66" s="5714"/>
      <c r="F66" s="5731"/>
      <c r="G66" s="5724"/>
      <c r="H66" s="6003"/>
      <c r="I66" s="5732"/>
      <c r="J66" s="5733"/>
      <c r="K66" s="1486"/>
      <c r="L66" s="5669"/>
      <c r="M66" s="5669"/>
      <c r="N66" s="5669"/>
      <c r="O66" s="5669"/>
      <c r="P66" s="5669"/>
      <c r="Q66" s="5669"/>
      <c r="R66" s="5669"/>
      <c r="S66" s="5669"/>
      <c r="T66" s="5669"/>
      <c r="U66" s="5669"/>
      <c r="V66" s="5669"/>
    </row>
    <row r="67" spans="1:23" s="660" customFormat="1" ht="13.5" customHeight="1">
      <c r="A67" s="5726"/>
      <c r="B67" s="5713"/>
      <c r="C67" s="5714"/>
      <c r="D67" s="5714" t="s">
        <v>11818</v>
      </c>
      <c r="E67" s="5714"/>
      <c r="F67" s="5619">
        <v>1</v>
      </c>
      <c r="G67" s="5724"/>
      <c r="H67" s="6003"/>
      <c r="I67" s="5732"/>
      <c r="J67" s="5734"/>
      <c r="K67" s="1486"/>
      <c r="L67" s="5669"/>
      <c r="M67" s="5669"/>
      <c r="N67" s="5669"/>
      <c r="O67" s="5669"/>
      <c r="P67" s="5669"/>
      <c r="Q67" s="5669"/>
      <c r="R67" s="5669"/>
      <c r="S67" s="5669"/>
      <c r="T67" s="5669"/>
      <c r="U67" s="5669"/>
      <c r="V67" s="5669"/>
      <c r="W67" s="81"/>
    </row>
    <row r="68" spans="1:23" s="660" customFormat="1" ht="13.5" customHeight="1">
      <c r="A68" s="5726"/>
      <c r="B68" s="5713"/>
      <c r="C68" s="5714"/>
      <c r="D68" s="5714" t="s">
        <v>11819</v>
      </c>
      <c r="E68" s="5714"/>
      <c r="F68" s="5619"/>
      <c r="G68" s="5724"/>
      <c r="H68" s="6003"/>
      <c r="I68" s="5729"/>
      <c r="J68" s="5735"/>
      <c r="K68" s="1618"/>
      <c r="L68" s="808"/>
      <c r="M68" s="808"/>
      <c r="N68" s="808"/>
      <c r="O68" s="808"/>
      <c r="P68" s="808"/>
      <c r="Q68" s="808"/>
      <c r="R68" s="772"/>
      <c r="S68" s="718"/>
    </row>
    <row r="69" spans="1:23" s="660" customFormat="1" ht="13.5" customHeight="1">
      <c r="A69" s="5726"/>
      <c r="B69" s="5713"/>
      <c r="C69" s="5714"/>
      <c r="D69" s="5714" t="s">
        <v>11820</v>
      </c>
      <c r="E69" s="5714"/>
      <c r="F69" s="5619"/>
      <c r="G69" s="5724"/>
      <c r="H69" s="6003"/>
      <c r="I69" s="5729"/>
      <c r="J69" s="5735"/>
      <c r="K69" s="5670"/>
      <c r="L69" s="5671"/>
      <c r="M69" s="5671"/>
      <c r="N69" s="5671"/>
      <c r="O69" s="808"/>
      <c r="P69" s="808"/>
      <c r="Q69" s="808"/>
      <c r="R69" s="772"/>
      <c r="S69" s="718"/>
    </row>
    <row r="70" spans="1:23" s="333" customFormat="1" ht="40.5" customHeight="1">
      <c r="A70" s="5712">
        <v>13</v>
      </c>
      <c r="B70" s="5713" t="s">
        <v>4103</v>
      </c>
      <c r="C70" s="5714" t="s">
        <v>11824</v>
      </c>
      <c r="D70" s="5715" t="s">
        <v>11825</v>
      </c>
      <c r="E70" s="5716" t="s">
        <v>155</v>
      </c>
      <c r="F70" s="5717">
        <f>SUM(F72:F72)</f>
        <v>1</v>
      </c>
      <c r="G70" s="5718"/>
      <c r="H70" s="6002">
        <f>F70*G70</f>
        <v>0</v>
      </c>
      <c r="I70" s="5719" t="s">
        <v>60</v>
      </c>
      <c r="J70" s="5730"/>
      <c r="K70" s="1325"/>
    </row>
    <row r="71" spans="1:23" ht="54" customHeight="1">
      <c r="A71" s="5721"/>
      <c r="B71" s="5714"/>
      <c r="C71" s="5714"/>
      <c r="D71" s="5722" t="s">
        <v>11817</v>
      </c>
      <c r="E71" s="5714"/>
      <c r="F71" s="5731"/>
      <c r="G71" s="5724"/>
      <c r="H71" s="6003"/>
      <c r="I71" s="5732"/>
      <c r="J71" s="5733"/>
      <c r="K71" s="1486"/>
      <c r="L71" s="5669"/>
      <c r="M71" s="5669"/>
      <c r="N71" s="5669"/>
      <c r="O71" s="5669"/>
      <c r="P71" s="5669"/>
      <c r="Q71" s="5669"/>
      <c r="R71" s="5669"/>
      <c r="S71" s="5669"/>
      <c r="T71" s="5669"/>
      <c r="U71" s="5669"/>
      <c r="V71" s="5669"/>
    </row>
    <row r="72" spans="1:23" s="660" customFormat="1" ht="13.5" customHeight="1">
      <c r="A72" s="5726"/>
      <c r="B72" s="5713"/>
      <c r="C72" s="5714"/>
      <c r="D72" s="5714" t="s">
        <v>11818</v>
      </c>
      <c r="E72" s="5714"/>
      <c r="F72" s="5619">
        <v>1</v>
      </c>
      <c r="G72" s="5724"/>
      <c r="H72" s="6003"/>
      <c r="I72" s="5732"/>
      <c r="J72" s="5734"/>
      <c r="K72" s="1486"/>
      <c r="L72" s="5669"/>
      <c r="M72" s="5669"/>
      <c r="N72" s="5669"/>
      <c r="O72" s="5669"/>
      <c r="P72" s="5669"/>
      <c r="Q72" s="5669"/>
      <c r="R72" s="5669"/>
      <c r="S72" s="5669"/>
      <c r="T72" s="5669"/>
      <c r="U72" s="5669"/>
      <c r="V72" s="5669"/>
      <c r="W72" s="81"/>
    </row>
    <row r="73" spans="1:23" s="660" customFormat="1" ht="13.5" customHeight="1">
      <c r="A73" s="5726"/>
      <c r="B73" s="5713"/>
      <c r="C73" s="5714"/>
      <c r="D73" s="5714" t="s">
        <v>11786</v>
      </c>
      <c r="E73" s="5714"/>
      <c r="F73" s="5619"/>
      <c r="G73" s="5724"/>
      <c r="H73" s="6003"/>
      <c r="I73" s="5729"/>
      <c r="J73" s="5728"/>
      <c r="K73" s="81"/>
      <c r="L73" s="81"/>
      <c r="M73" s="81"/>
      <c r="N73" s="900"/>
      <c r="O73" s="81"/>
      <c r="P73" s="81"/>
      <c r="Q73" s="808"/>
      <c r="R73" s="772"/>
      <c r="S73" s="718"/>
    </row>
    <row r="74" spans="1:23" s="660" customFormat="1" ht="13.5" customHeight="1">
      <c r="A74" s="5726"/>
      <c r="B74" s="5713"/>
      <c r="C74" s="5714"/>
      <c r="D74" s="5714" t="s">
        <v>11787</v>
      </c>
      <c r="E74" s="5714"/>
      <c r="F74" s="5619"/>
      <c r="G74" s="5724"/>
      <c r="H74" s="6003"/>
      <c r="I74" s="5729"/>
      <c r="J74" s="5735"/>
      <c r="K74" s="1618"/>
      <c r="L74" s="808"/>
      <c r="M74" s="808"/>
      <c r="N74" s="808"/>
      <c r="O74" s="808"/>
      <c r="P74" s="808"/>
      <c r="Q74" s="808"/>
      <c r="R74" s="772"/>
      <c r="S74" s="718"/>
    </row>
    <row r="75" spans="1:23" s="660" customFormat="1" ht="13.5" customHeight="1">
      <c r="A75" s="5726"/>
      <c r="B75" s="5713"/>
      <c r="C75" s="5714"/>
      <c r="D75" s="5714" t="s">
        <v>11820</v>
      </c>
      <c r="E75" s="5714"/>
      <c r="F75" s="5619"/>
      <c r="G75" s="5724"/>
      <c r="H75" s="6003"/>
      <c r="I75" s="5729"/>
      <c r="J75" s="5735"/>
      <c r="K75" s="5670"/>
      <c r="L75" s="5671"/>
      <c r="M75" s="5671"/>
      <c r="N75" s="5671"/>
      <c r="O75" s="808"/>
      <c r="P75" s="808"/>
      <c r="Q75" s="808"/>
      <c r="R75" s="772"/>
      <c r="S75" s="718"/>
    </row>
    <row r="76" spans="1:23" s="333" customFormat="1" ht="40.5" customHeight="1">
      <c r="A76" s="5712">
        <v>14</v>
      </c>
      <c r="B76" s="5713" t="s">
        <v>4103</v>
      </c>
      <c r="C76" s="5714" t="s">
        <v>11824</v>
      </c>
      <c r="D76" s="5715" t="s">
        <v>11826</v>
      </c>
      <c r="E76" s="5716" t="s">
        <v>155</v>
      </c>
      <c r="F76" s="5717">
        <f>SUM(F78:F78)</f>
        <v>1</v>
      </c>
      <c r="G76" s="5718"/>
      <c r="H76" s="6002">
        <f>F76*G76</f>
        <v>0</v>
      </c>
      <c r="I76" s="5719" t="s">
        <v>60</v>
      </c>
      <c r="J76" s="5730"/>
      <c r="K76" s="1325"/>
    </row>
    <row r="77" spans="1:23" ht="54" customHeight="1">
      <c r="A77" s="5721"/>
      <c r="B77" s="5714"/>
      <c r="C77" s="5714"/>
      <c r="D77" s="5722" t="s">
        <v>11817</v>
      </c>
      <c r="E77" s="5714"/>
      <c r="F77" s="5731"/>
      <c r="G77" s="5724"/>
      <c r="H77" s="6003"/>
      <c r="I77" s="5732"/>
      <c r="J77" s="5733"/>
      <c r="K77" s="1486"/>
      <c r="L77" s="5669"/>
      <c r="M77" s="5669"/>
      <c r="N77" s="5669"/>
      <c r="O77" s="5669"/>
      <c r="P77" s="5669"/>
      <c r="Q77" s="5669"/>
      <c r="R77" s="5669"/>
      <c r="S77" s="5669"/>
      <c r="T77" s="5669"/>
      <c r="U77" s="5669"/>
      <c r="V77" s="5669"/>
    </row>
    <row r="78" spans="1:23" s="660" customFormat="1" ht="13.5" customHeight="1">
      <c r="A78" s="5726"/>
      <c r="B78" s="5713"/>
      <c r="C78" s="5714"/>
      <c r="D78" s="5714" t="s">
        <v>11818</v>
      </c>
      <c r="E78" s="5714"/>
      <c r="F78" s="5619">
        <v>1</v>
      </c>
      <c r="G78" s="5724"/>
      <c r="H78" s="6003"/>
      <c r="I78" s="5732"/>
      <c r="J78" s="5734"/>
      <c r="K78" s="1486"/>
      <c r="L78" s="5669"/>
      <c r="M78" s="5669"/>
      <c r="N78" s="5669"/>
      <c r="O78" s="5669"/>
      <c r="P78" s="5669"/>
      <c r="Q78" s="5669"/>
      <c r="R78" s="5669"/>
      <c r="S78" s="5669"/>
      <c r="T78" s="5669"/>
      <c r="U78" s="5669"/>
      <c r="V78" s="5669"/>
      <c r="W78" s="81"/>
    </row>
    <row r="79" spans="1:23" s="660" customFormat="1" ht="13.5" customHeight="1">
      <c r="A79" s="5726"/>
      <c r="B79" s="5713"/>
      <c r="C79" s="5714"/>
      <c r="D79" s="5714" t="s">
        <v>11786</v>
      </c>
      <c r="E79" s="5714"/>
      <c r="F79" s="5619"/>
      <c r="G79" s="5724"/>
      <c r="H79" s="6003"/>
      <c r="I79" s="5729"/>
      <c r="J79" s="5728"/>
      <c r="K79" s="81"/>
      <c r="L79" s="81"/>
      <c r="M79" s="81"/>
      <c r="N79" s="900"/>
      <c r="O79" s="81"/>
      <c r="P79" s="81"/>
      <c r="Q79" s="808"/>
      <c r="R79" s="772"/>
      <c r="S79" s="718"/>
    </row>
    <row r="80" spans="1:23" s="660" customFormat="1" ht="13.5" customHeight="1">
      <c r="A80" s="5726"/>
      <c r="B80" s="5713"/>
      <c r="C80" s="5714"/>
      <c r="D80" s="5714" t="s">
        <v>11819</v>
      </c>
      <c r="E80" s="5714"/>
      <c r="F80" s="5619"/>
      <c r="G80" s="5724"/>
      <c r="H80" s="6003"/>
      <c r="I80" s="5729"/>
      <c r="J80" s="5735"/>
      <c r="K80" s="1618"/>
      <c r="L80" s="808"/>
      <c r="M80" s="808"/>
      <c r="N80" s="808"/>
      <c r="O80" s="808"/>
      <c r="P80" s="808"/>
      <c r="Q80" s="808"/>
      <c r="R80" s="772"/>
      <c r="S80" s="718"/>
    </row>
    <row r="81" spans="1:23" s="660" customFormat="1" ht="13.5" customHeight="1">
      <c r="A81" s="5726"/>
      <c r="B81" s="5713"/>
      <c r="C81" s="5714"/>
      <c r="D81" s="5714" t="s">
        <v>11820</v>
      </c>
      <c r="E81" s="5714"/>
      <c r="F81" s="5619"/>
      <c r="G81" s="5724"/>
      <c r="H81" s="6003"/>
      <c r="I81" s="5729"/>
      <c r="J81" s="5735"/>
      <c r="K81" s="5670"/>
      <c r="L81" s="5671"/>
      <c r="M81" s="5671"/>
      <c r="N81" s="5671"/>
      <c r="O81" s="808"/>
      <c r="P81" s="808"/>
      <c r="Q81" s="808"/>
      <c r="R81" s="772"/>
      <c r="S81" s="718"/>
    </row>
    <row r="82" spans="1:23" s="333" customFormat="1" ht="40.5" customHeight="1">
      <c r="A82" s="5712">
        <v>15</v>
      </c>
      <c r="B82" s="5713" t="s">
        <v>4103</v>
      </c>
      <c r="C82" s="5714" t="s">
        <v>11827</v>
      </c>
      <c r="D82" s="5715" t="s">
        <v>11828</v>
      </c>
      <c r="E82" s="5716" t="s">
        <v>155</v>
      </c>
      <c r="F82" s="5717">
        <f>SUM(F84:F84)</f>
        <v>1</v>
      </c>
      <c r="G82" s="5718"/>
      <c r="H82" s="6002">
        <f>F82*G82</f>
        <v>0</v>
      </c>
      <c r="I82" s="5719" t="s">
        <v>60</v>
      </c>
      <c r="J82" s="5730"/>
      <c r="K82" s="1325"/>
    </row>
    <row r="83" spans="1:23" ht="54" customHeight="1">
      <c r="A83" s="5721"/>
      <c r="B83" s="5714"/>
      <c r="C83" s="5714"/>
      <c r="D83" s="5722" t="s">
        <v>11829</v>
      </c>
      <c r="E83" s="5714"/>
      <c r="F83" s="5731"/>
      <c r="G83" s="5724"/>
      <c r="H83" s="6003"/>
      <c r="I83" s="5732"/>
      <c r="J83" s="5733"/>
      <c r="K83" s="1486"/>
      <c r="L83" s="5669"/>
      <c r="M83" s="5669"/>
      <c r="N83" s="5669"/>
      <c r="O83" s="5669"/>
      <c r="P83" s="5669"/>
      <c r="Q83" s="5669"/>
      <c r="R83" s="5669"/>
      <c r="S83" s="5669"/>
      <c r="T83" s="5669"/>
      <c r="U83" s="5669"/>
      <c r="V83" s="5669"/>
    </row>
    <row r="84" spans="1:23" s="660" customFormat="1" ht="13.5" customHeight="1">
      <c r="A84" s="5726"/>
      <c r="B84" s="5713"/>
      <c r="C84" s="5714"/>
      <c r="D84" s="5714" t="s">
        <v>11830</v>
      </c>
      <c r="E84" s="5714"/>
      <c r="F84" s="5619">
        <v>1</v>
      </c>
      <c r="G84" s="5724"/>
      <c r="H84" s="6003"/>
      <c r="I84" s="5732"/>
      <c r="J84" s="5734"/>
      <c r="K84" s="1486"/>
      <c r="L84" s="5669"/>
      <c r="M84" s="5669"/>
      <c r="N84" s="5669"/>
      <c r="O84" s="5669"/>
      <c r="P84" s="5669"/>
      <c r="Q84" s="5669"/>
      <c r="R84" s="5669"/>
      <c r="S84" s="5669"/>
      <c r="T84" s="5669"/>
      <c r="U84" s="5669"/>
      <c r="V84" s="5669"/>
      <c r="W84" s="81"/>
    </row>
    <row r="85" spans="1:23" s="660" customFormat="1" ht="13.5" customHeight="1">
      <c r="A85" s="5726"/>
      <c r="B85" s="5713"/>
      <c r="C85" s="5714"/>
      <c r="D85" s="5714" t="s">
        <v>11787</v>
      </c>
      <c r="E85" s="5714"/>
      <c r="F85" s="5619"/>
      <c r="G85" s="5724"/>
      <c r="H85" s="6003"/>
      <c r="I85" s="5729"/>
      <c r="J85" s="5735"/>
      <c r="K85" s="1618"/>
      <c r="L85" s="808"/>
      <c r="M85" s="808"/>
      <c r="N85" s="808"/>
      <c r="O85" s="808"/>
      <c r="P85" s="808"/>
      <c r="Q85" s="808"/>
      <c r="R85" s="772"/>
      <c r="S85" s="718"/>
    </row>
    <row r="86" spans="1:23" s="660" customFormat="1" ht="13.5" customHeight="1">
      <c r="A86" s="5726"/>
      <c r="B86" s="5713"/>
      <c r="C86" s="5714"/>
      <c r="D86" s="5714" t="s">
        <v>11820</v>
      </c>
      <c r="E86" s="5714"/>
      <c r="F86" s="5619"/>
      <c r="G86" s="5724"/>
      <c r="H86" s="6003"/>
      <c r="I86" s="5729"/>
      <c r="J86" s="5735"/>
      <c r="K86" s="5670"/>
      <c r="L86" s="5671"/>
      <c r="M86" s="5671"/>
      <c r="N86" s="5671"/>
      <c r="O86" s="808"/>
      <c r="P86" s="808"/>
      <c r="Q86" s="808"/>
      <c r="R86" s="772"/>
      <c r="S86" s="718"/>
    </row>
    <row r="87" spans="1:23" s="333" customFormat="1" ht="40.5" customHeight="1">
      <c r="A87" s="5712">
        <v>16</v>
      </c>
      <c r="B87" s="5713" t="s">
        <v>4103</v>
      </c>
      <c r="C87" s="5714" t="s">
        <v>11831</v>
      </c>
      <c r="D87" s="5715" t="s">
        <v>11832</v>
      </c>
      <c r="E87" s="5716" t="s">
        <v>155</v>
      </c>
      <c r="F87" s="5717">
        <f>SUM(F89:F89)</f>
        <v>1</v>
      </c>
      <c r="G87" s="5718"/>
      <c r="H87" s="6002">
        <f>F87*G87</f>
        <v>0</v>
      </c>
      <c r="I87" s="5719" t="s">
        <v>60</v>
      </c>
      <c r="J87" s="5730"/>
      <c r="K87" s="1325"/>
    </row>
    <row r="88" spans="1:23" ht="54" customHeight="1">
      <c r="A88" s="5721"/>
      <c r="B88" s="5714"/>
      <c r="C88" s="5714"/>
      <c r="D88" s="5722" t="s">
        <v>11833</v>
      </c>
      <c r="E88" s="5714"/>
      <c r="F88" s="5731"/>
      <c r="G88" s="5724"/>
      <c r="H88" s="6003"/>
      <c r="I88" s="5732"/>
      <c r="J88" s="5733"/>
      <c r="K88" s="1486"/>
      <c r="L88" s="5669"/>
      <c r="M88" s="5669"/>
      <c r="N88" s="5669"/>
      <c r="O88" s="5669"/>
      <c r="P88" s="5669"/>
      <c r="Q88" s="5669"/>
      <c r="R88" s="5669"/>
      <c r="S88" s="5669"/>
      <c r="T88" s="5669"/>
      <c r="U88" s="5669"/>
      <c r="V88" s="5669"/>
    </row>
    <row r="89" spans="1:23" s="660" customFormat="1" ht="13.5" customHeight="1">
      <c r="A89" s="5726"/>
      <c r="B89" s="5713"/>
      <c r="C89" s="5714"/>
      <c r="D89" s="5714" t="s">
        <v>11818</v>
      </c>
      <c r="E89" s="5714"/>
      <c r="F89" s="5619">
        <v>1</v>
      </c>
      <c r="G89" s="5724"/>
      <c r="H89" s="6003"/>
      <c r="I89" s="5732"/>
      <c r="J89" s="5734"/>
      <c r="K89" s="1486"/>
      <c r="L89" s="5669"/>
      <c r="M89" s="5669"/>
      <c r="N89" s="5669"/>
      <c r="O89" s="5669"/>
      <c r="P89" s="5669"/>
      <c r="Q89" s="5669"/>
      <c r="R89" s="5669"/>
      <c r="S89" s="5669"/>
      <c r="T89" s="5669"/>
      <c r="U89" s="5669"/>
      <c r="V89" s="5669"/>
      <c r="W89" s="81"/>
    </row>
    <row r="90" spans="1:23" s="660" customFormat="1" ht="13.5" customHeight="1">
      <c r="A90" s="5726"/>
      <c r="B90" s="5713"/>
      <c r="C90" s="5714"/>
      <c r="D90" s="5714" t="s">
        <v>11819</v>
      </c>
      <c r="E90" s="5714"/>
      <c r="F90" s="5619"/>
      <c r="G90" s="5724"/>
      <c r="H90" s="6003"/>
      <c r="I90" s="5729"/>
      <c r="J90" s="5735"/>
      <c r="K90" s="1618"/>
      <c r="L90" s="808"/>
      <c r="M90" s="808"/>
      <c r="N90" s="808"/>
      <c r="O90" s="808"/>
      <c r="P90" s="808"/>
      <c r="Q90" s="808"/>
      <c r="R90" s="772"/>
      <c r="S90" s="718"/>
    </row>
    <row r="91" spans="1:23" s="660" customFormat="1" ht="13.5" customHeight="1">
      <c r="A91" s="5726"/>
      <c r="B91" s="5713"/>
      <c r="C91" s="5714"/>
      <c r="D91" s="5714" t="s">
        <v>11820</v>
      </c>
      <c r="E91" s="5714"/>
      <c r="F91" s="5619"/>
      <c r="G91" s="5724"/>
      <c r="H91" s="6003"/>
      <c r="I91" s="5729"/>
      <c r="J91" s="5735"/>
      <c r="K91" s="5670"/>
      <c r="L91" s="5671"/>
      <c r="M91" s="5671"/>
      <c r="N91" s="5671"/>
      <c r="O91" s="808"/>
      <c r="P91" s="808"/>
      <c r="Q91" s="808"/>
      <c r="R91" s="772"/>
      <c r="S91" s="718"/>
    </row>
    <row r="92" spans="1:23" s="333" customFormat="1" ht="40.5" customHeight="1">
      <c r="A92" s="5712">
        <v>17</v>
      </c>
      <c r="B92" s="5713" t="s">
        <v>4103</v>
      </c>
      <c r="C92" s="5714" t="s">
        <v>11834</v>
      </c>
      <c r="D92" s="5715" t="s">
        <v>11835</v>
      </c>
      <c r="E92" s="5716" t="s">
        <v>155</v>
      </c>
      <c r="F92" s="5717">
        <f>SUM(F94:F94)</f>
        <v>1</v>
      </c>
      <c r="G92" s="5718"/>
      <c r="H92" s="6002">
        <f>F92*G92</f>
        <v>0</v>
      </c>
      <c r="I92" s="5719" t="s">
        <v>60</v>
      </c>
      <c r="J92" s="5730"/>
      <c r="K92" s="1325"/>
    </row>
    <row r="93" spans="1:23" ht="54" customHeight="1">
      <c r="A93" s="5721"/>
      <c r="B93" s="5714"/>
      <c r="C93" s="5714"/>
      <c r="D93" s="5722" t="s">
        <v>11836</v>
      </c>
      <c r="E93" s="5714"/>
      <c r="F93" s="5731"/>
      <c r="G93" s="5724"/>
      <c r="H93" s="6003"/>
      <c r="I93" s="5732"/>
      <c r="J93" s="5733"/>
      <c r="K93" s="1486"/>
      <c r="L93" s="5669"/>
      <c r="M93" s="5669"/>
      <c r="N93" s="5669"/>
      <c r="O93" s="5669"/>
      <c r="P93" s="5669"/>
      <c r="Q93" s="5669"/>
      <c r="R93" s="5669"/>
      <c r="S93" s="5669"/>
      <c r="T93" s="5669"/>
      <c r="U93" s="5669"/>
      <c r="V93" s="5669"/>
    </row>
    <row r="94" spans="1:23" s="660" customFormat="1" ht="13.5" customHeight="1">
      <c r="A94" s="5726"/>
      <c r="B94" s="5713"/>
      <c r="C94" s="5714"/>
      <c r="D94" s="5714" t="s">
        <v>11818</v>
      </c>
      <c r="E94" s="5714"/>
      <c r="F94" s="5619">
        <v>1</v>
      </c>
      <c r="G94" s="5724"/>
      <c r="H94" s="6003"/>
      <c r="I94" s="5732"/>
      <c r="J94" s="5734"/>
      <c r="K94" s="1486"/>
      <c r="L94" s="5669"/>
      <c r="M94" s="5669"/>
      <c r="N94" s="5669"/>
      <c r="O94" s="5669"/>
      <c r="P94" s="5669"/>
      <c r="Q94" s="5669"/>
      <c r="R94" s="5669"/>
      <c r="S94" s="5669"/>
      <c r="T94" s="5669"/>
      <c r="U94" s="5669"/>
      <c r="V94" s="5669"/>
      <c r="W94" s="81"/>
    </row>
    <row r="95" spans="1:23" s="660" customFormat="1" ht="13.5" customHeight="1">
      <c r="A95" s="5726"/>
      <c r="B95" s="5713"/>
      <c r="C95" s="5714"/>
      <c r="D95" s="5714" t="s">
        <v>11819</v>
      </c>
      <c r="E95" s="5714"/>
      <c r="F95" s="5619"/>
      <c r="G95" s="5724"/>
      <c r="H95" s="6003"/>
      <c r="I95" s="5729"/>
      <c r="J95" s="5735"/>
      <c r="K95" s="1618"/>
      <c r="L95" s="808"/>
      <c r="M95" s="808"/>
      <c r="N95" s="808"/>
      <c r="O95" s="808"/>
      <c r="P95" s="808"/>
      <c r="Q95" s="808"/>
      <c r="R95" s="772"/>
      <c r="S95" s="718"/>
    </row>
    <row r="96" spans="1:23" s="660" customFormat="1" ht="13.5" customHeight="1">
      <c r="A96" s="5726"/>
      <c r="B96" s="5713"/>
      <c r="C96" s="5714"/>
      <c r="D96" s="5714" t="s">
        <v>11820</v>
      </c>
      <c r="E96" s="5714"/>
      <c r="F96" s="5619"/>
      <c r="G96" s="5724"/>
      <c r="H96" s="6003"/>
      <c r="I96" s="5729"/>
      <c r="J96" s="5735"/>
      <c r="K96" s="5670"/>
      <c r="L96" s="5671"/>
      <c r="M96" s="5671"/>
      <c r="N96" s="5671"/>
      <c r="O96" s="808"/>
      <c r="P96" s="808"/>
      <c r="Q96" s="808"/>
      <c r="R96" s="772"/>
      <c r="S96" s="718"/>
    </row>
    <row r="97" spans="1:23" s="333" customFormat="1" ht="40.5" customHeight="1">
      <c r="A97" s="5712">
        <v>18</v>
      </c>
      <c r="B97" s="5713" t="s">
        <v>4103</v>
      </c>
      <c r="C97" s="5714" t="s">
        <v>11837</v>
      </c>
      <c r="D97" s="5715" t="s">
        <v>11838</v>
      </c>
      <c r="E97" s="5716" t="s">
        <v>155</v>
      </c>
      <c r="F97" s="5717">
        <f>SUM(F99:F99)</f>
        <v>1</v>
      </c>
      <c r="G97" s="5718"/>
      <c r="H97" s="6002">
        <f>F97*G97</f>
        <v>0</v>
      </c>
      <c r="I97" s="5719" t="s">
        <v>60</v>
      </c>
      <c r="J97" s="5730"/>
      <c r="K97" s="1325"/>
    </row>
    <row r="98" spans="1:23" ht="54" customHeight="1">
      <c r="A98" s="5721"/>
      <c r="B98" s="5714"/>
      <c r="C98" s="5714"/>
      <c r="D98" s="5722" t="s">
        <v>11839</v>
      </c>
      <c r="E98" s="5714"/>
      <c r="F98" s="5731"/>
      <c r="G98" s="5724"/>
      <c r="H98" s="6003"/>
      <c r="I98" s="5732"/>
      <c r="J98" s="5733"/>
      <c r="K98" s="1486"/>
      <c r="L98" s="5669"/>
      <c r="M98" s="5669"/>
      <c r="N98" s="5669"/>
      <c r="O98" s="5669"/>
      <c r="P98" s="5669"/>
      <c r="Q98" s="5669"/>
      <c r="R98" s="5669"/>
      <c r="S98" s="5669"/>
      <c r="T98" s="5669"/>
      <c r="U98" s="5669"/>
      <c r="V98" s="5669"/>
    </row>
    <row r="99" spans="1:23" s="660" customFormat="1" ht="13.5" customHeight="1">
      <c r="A99" s="5726"/>
      <c r="B99" s="5713"/>
      <c r="C99" s="5714"/>
      <c r="D99" s="5714" t="s">
        <v>11818</v>
      </c>
      <c r="E99" s="5714"/>
      <c r="F99" s="5619">
        <v>1</v>
      </c>
      <c r="G99" s="5724"/>
      <c r="H99" s="6003"/>
      <c r="I99" s="5732"/>
      <c r="J99" s="5734"/>
      <c r="K99" s="1486"/>
      <c r="L99" s="5669"/>
      <c r="M99" s="5669"/>
      <c r="N99" s="5669"/>
      <c r="O99" s="5669"/>
      <c r="P99" s="5669"/>
      <c r="Q99" s="5669"/>
      <c r="R99" s="5669"/>
      <c r="S99" s="5669"/>
      <c r="T99" s="5669"/>
      <c r="U99" s="5669"/>
      <c r="V99" s="5669"/>
      <c r="W99" s="81"/>
    </row>
    <row r="100" spans="1:23" s="660" customFormat="1" ht="13.5" customHeight="1">
      <c r="A100" s="5726"/>
      <c r="B100" s="5713"/>
      <c r="C100" s="5714"/>
      <c r="D100" s="5714" t="s">
        <v>11819</v>
      </c>
      <c r="E100" s="5714"/>
      <c r="F100" s="5619"/>
      <c r="G100" s="5724"/>
      <c r="H100" s="6003"/>
      <c r="I100" s="5729"/>
      <c r="J100" s="5735"/>
      <c r="K100" s="1618"/>
      <c r="L100" s="808"/>
      <c r="M100" s="808"/>
      <c r="N100" s="808"/>
      <c r="O100" s="808"/>
      <c r="P100" s="808"/>
      <c r="Q100" s="808"/>
      <c r="R100" s="772"/>
      <c r="S100" s="718"/>
    </row>
    <row r="101" spans="1:23" s="660" customFormat="1" ht="13.5" customHeight="1">
      <c r="A101" s="5726"/>
      <c r="B101" s="5713"/>
      <c r="C101" s="5714"/>
      <c r="D101" s="5714" t="s">
        <v>11820</v>
      </c>
      <c r="E101" s="5714"/>
      <c r="F101" s="5619"/>
      <c r="G101" s="5724"/>
      <c r="H101" s="6003"/>
      <c r="I101" s="5729"/>
      <c r="J101" s="5735"/>
      <c r="K101" s="5670"/>
      <c r="L101" s="5671"/>
      <c r="M101" s="5671"/>
      <c r="N101" s="5671"/>
      <c r="O101" s="808"/>
      <c r="P101" s="808"/>
      <c r="Q101" s="808"/>
      <c r="R101" s="772"/>
      <c r="S101" s="718"/>
    </row>
    <row r="102" spans="1:23" s="333" customFormat="1" ht="40.5" customHeight="1">
      <c r="A102" s="5712">
        <v>19</v>
      </c>
      <c r="B102" s="5713" t="s">
        <v>4103</v>
      </c>
      <c r="C102" s="5714" t="s">
        <v>11840</v>
      </c>
      <c r="D102" s="5715" t="s">
        <v>11841</v>
      </c>
      <c r="E102" s="5716" t="s">
        <v>155</v>
      </c>
      <c r="F102" s="5717">
        <f>SUM(F104:F104)</f>
        <v>1</v>
      </c>
      <c r="G102" s="5718"/>
      <c r="H102" s="6002">
        <f>F102*G102</f>
        <v>0</v>
      </c>
      <c r="I102" s="5719" t="s">
        <v>60</v>
      </c>
      <c r="J102" s="5730"/>
      <c r="K102" s="1325"/>
    </row>
    <row r="103" spans="1:23" ht="54" customHeight="1">
      <c r="A103" s="5721"/>
      <c r="B103" s="5714"/>
      <c r="C103" s="5714"/>
      <c r="D103" s="5722" t="s">
        <v>11839</v>
      </c>
      <c r="E103" s="5714"/>
      <c r="F103" s="5731"/>
      <c r="G103" s="5724"/>
      <c r="H103" s="6003"/>
      <c r="I103" s="5732"/>
      <c r="J103" s="5733"/>
      <c r="K103" s="1486"/>
      <c r="L103" s="5669"/>
      <c r="M103" s="5669"/>
      <c r="N103" s="5669"/>
      <c r="O103" s="5669"/>
      <c r="P103" s="5669"/>
      <c r="Q103" s="5669"/>
      <c r="R103" s="5669"/>
      <c r="S103" s="5669"/>
      <c r="T103" s="5669"/>
      <c r="U103" s="5669"/>
      <c r="V103" s="5669"/>
    </row>
    <row r="104" spans="1:23" s="660" customFormat="1" ht="13.5" customHeight="1">
      <c r="A104" s="5726"/>
      <c r="B104" s="5713"/>
      <c r="C104" s="5714"/>
      <c r="D104" s="5714" t="s">
        <v>11818</v>
      </c>
      <c r="E104" s="5714"/>
      <c r="F104" s="5619">
        <v>1</v>
      </c>
      <c r="G104" s="5724"/>
      <c r="H104" s="6003"/>
      <c r="I104" s="5732"/>
      <c r="J104" s="5734"/>
      <c r="K104" s="1486"/>
      <c r="L104" s="5669"/>
      <c r="M104" s="5669"/>
      <c r="N104" s="5669"/>
      <c r="O104" s="5669"/>
      <c r="P104" s="5669"/>
      <c r="Q104" s="5669"/>
      <c r="R104" s="5669"/>
      <c r="S104" s="5669"/>
      <c r="T104" s="5669"/>
      <c r="U104" s="5669"/>
      <c r="V104" s="5669"/>
      <c r="W104" s="81"/>
    </row>
    <row r="105" spans="1:23" s="660" customFormat="1" ht="13.5" customHeight="1">
      <c r="A105" s="5726"/>
      <c r="B105" s="5713"/>
      <c r="C105" s="5714"/>
      <c r="D105" s="5714" t="s">
        <v>11819</v>
      </c>
      <c r="E105" s="5714"/>
      <c r="F105" s="5619"/>
      <c r="G105" s="5724"/>
      <c r="H105" s="6003"/>
      <c r="I105" s="5729"/>
      <c r="J105" s="5735"/>
      <c r="K105" s="1618"/>
      <c r="L105" s="808"/>
      <c r="M105" s="808"/>
      <c r="N105" s="808"/>
      <c r="O105" s="808"/>
      <c r="P105" s="808"/>
      <c r="Q105" s="808"/>
      <c r="R105" s="772"/>
      <c r="S105" s="718"/>
    </row>
    <row r="106" spans="1:23" s="660" customFormat="1" ht="13.5" customHeight="1">
      <c r="A106" s="5726"/>
      <c r="B106" s="5713"/>
      <c r="C106" s="5714"/>
      <c r="D106" s="5714" t="s">
        <v>11820</v>
      </c>
      <c r="E106" s="5714"/>
      <c r="F106" s="5619"/>
      <c r="G106" s="5724"/>
      <c r="H106" s="6003"/>
      <c r="I106" s="5729"/>
      <c r="J106" s="5735"/>
      <c r="K106" s="5670"/>
      <c r="L106" s="5671"/>
      <c r="M106" s="5671"/>
      <c r="N106" s="5671"/>
      <c r="O106" s="808"/>
      <c r="P106" s="808"/>
      <c r="Q106" s="808"/>
      <c r="R106" s="772"/>
      <c r="S106" s="718"/>
    </row>
    <row r="107" spans="1:23" s="333" customFormat="1" ht="40.5" customHeight="1">
      <c r="A107" s="5712">
        <v>20</v>
      </c>
      <c r="B107" s="5713" t="s">
        <v>4103</v>
      </c>
      <c r="C107" s="5714" t="s">
        <v>11842</v>
      </c>
      <c r="D107" s="5715" t="s">
        <v>11843</v>
      </c>
      <c r="E107" s="5716" t="s">
        <v>155</v>
      </c>
      <c r="F107" s="5717">
        <f>SUM(F109:F109)</f>
        <v>1</v>
      </c>
      <c r="G107" s="5718"/>
      <c r="H107" s="6002">
        <f>F107*G107</f>
        <v>0</v>
      </c>
      <c r="I107" s="5719" t="s">
        <v>60</v>
      </c>
      <c r="J107" s="5730"/>
      <c r="K107" s="1325"/>
    </row>
    <row r="108" spans="1:23" ht="54" customHeight="1">
      <c r="A108" s="5721"/>
      <c r="B108" s="5714"/>
      <c r="C108" s="5714"/>
      <c r="D108" s="5722" t="s">
        <v>11839</v>
      </c>
      <c r="E108" s="5714"/>
      <c r="F108" s="5731"/>
      <c r="G108" s="5724"/>
      <c r="H108" s="6003"/>
      <c r="I108" s="5732"/>
      <c r="J108" s="5733"/>
      <c r="K108" s="1486"/>
      <c r="L108" s="5669"/>
      <c r="M108" s="5669"/>
      <c r="N108" s="5669"/>
      <c r="O108" s="5669"/>
      <c r="P108" s="5669"/>
      <c r="Q108" s="5669"/>
      <c r="R108" s="5669"/>
      <c r="S108" s="5669"/>
      <c r="T108" s="5669"/>
      <c r="U108" s="5669"/>
      <c r="V108" s="5669"/>
    </row>
    <row r="109" spans="1:23" s="660" customFormat="1" ht="13.5" customHeight="1">
      <c r="A109" s="5726"/>
      <c r="B109" s="5713"/>
      <c r="C109" s="5714"/>
      <c r="D109" s="5714" t="s">
        <v>11844</v>
      </c>
      <c r="E109" s="5714"/>
      <c r="F109" s="5619">
        <v>1</v>
      </c>
      <c r="G109" s="5724"/>
      <c r="H109" s="6003"/>
      <c r="I109" s="5732"/>
      <c r="J109" s="5734"/>
      <c r="K109" s="1486"/>
      <c r="L109" s="5669"/>
      <c r="M109" s="5669"/>
      <c r="N109" s="5669"/>
      <c r="O109" s="5669"/>
      <c r="P109" s="5669"/>
      <c r="Q109" s="5669"/>
      <c r="R109" s="5669"/>
      <c r="S109" s="5669"/>
      <c r="T109" s="5669"/>
      <c r="U109" s="5669"/>
      <c r="V109" s="5669"/>
      <c r="W109" s="81"/>
    </row>
    <row r="110" spans="1:23" s="660" customFormat="1" ht="13.5" customHeight="1">
      <c r="A110" s="5726"/>
      <c r="B110" s="5713"/>
      <c r="C110" s="5714"/>
      <c r="D110" s="5714" t="s">
        <v>11819</v>
      </c>
      <c r="E110" s="5714"/>
      <c r="F110" s="5619"/>
      <c r="G110" s="5724"/>
      <c r="H110" s="6003"/>
      <c r="I110" s="5729"/>
      <c r="J110" s="5735"/>
      <c r="K110" s="1618"/>
      <c r="L110" s="808"/>
      <c r="M110" s="808"/>
      <c r="N110" s="808"/>
      <c r="O110" s="808"/>
      <c r="P110" s="808"/>
      <c r="Q110" s="808"/>
      <c r="R110" s="772"/>
      <c r="S110" s="718"/>
    </row>
    <row r="111" spans="1:23" s="660" customFormat="1" ht="13.5" customHeight="1">
      <c r="A111" s="5726"/>
      <c r="B111" s="5713"/>
      <c r="C111" s="5714"/>
      <c r="D111" s="5714" t="s">
        <v>11820</v>
      </c>
      <c r="E111" s="5714"/>
      <c r="F111" s="5619"/>
      <c r="G111" s="5724"/>
      <c r="H111" s="6003"/>
      <c r="I111" s="5729"/>
      <c r="J111" s="5735"/>
      <c r="K111" s="5670"/>
      <c r="L111" s="5671"/>
      <c r="M111" s="5671"/>
      <c r="N111" s="5671"/>
      <c r="O111" s="808"/>
      <c r="P111" s="808"/>
      <c r="Q111" s="808"/>
      <c r="R111" s="772"/>
      <c r="S111" s="718"/>
    </row>
    <row r="112" spans="1:23" s="333" customFormat="1" ht="40.5" customHeight="1">
      <c r="A112" s="5712">
        <v>21</v>
      </c>
      <c r="B112" s="5713" t="s">
        <v>4103</v>
      </c>
      <c r="C112" s="5714" t="s">
        <v>11845</v>
      </c>
      <c r="D112" s="5715" t="s">
        <v>11846</v>
      </c>
      <c r="E112" s="5716" t="s">
        <v>155</v>
      </c>
      <c r="F112" s="5717">
        <f>SUM(F114:F114)</f>
        <v>1</v>
      </c>
      <c r="G112" s="5718"/>
      <c r="H112" s="6002">
        <f>F112*G112</f>
        <v>0</v>
      </c>
      <c r="I112" s="5719" t="s">
        <v>60</v>
      </c>
      <c r="J112" s="5730"/>
      <c r="K112" s="1325"/>
    </row>
    <row r="113" spans="1:23" ht="54" customHeight="1">
      <c r="A113" s="5721"/>
      <c r="B113" s="5714"/>
      <c r="C113" s="5714"/>
      <c r="D113" s="5722" t="s">
        <v>11847</v>
      </c>
      <c r="E113" s="5714"/>
      <c r="F113" s="5731"/>
      <c r="G113" s="5724"/>
      <c r="H113" s="6003"/>
      <c r="I113" s="5732"/>
      <c r="J113" s="5733"/>
      <c r="K113" s="1486"/>
      <c r="L113" s="5669"/>
      <c r="M113" s="5669"/>
      <c r="N113" s="5669"/>
      <c r="O113" s="5669"/>
      <c r="P113" s="5669"/>
      <c r="Q113" s="5669"/>
      <c r="R113" s="5669"/>
      <c r="S113" s="5669"/>
      <c r="T113" s="5669"/>
      <c r="U113" s="5669"/>
      <c r="V113" s="5669"/>
    </row>
    <row r="114" spans="1:23" s="660" customFormat="1" ht="13.5" customHeight="1">
      <c r="A114" s="5726"/>
      <c r="B114" s="5713"/>
      <c r="C114" s="5714"/>
      <c r="D114" s="5714" t="s">
        <v>11844</v>
      </c>
      <c r="E114" s="5714"/>
      <c r="F114" s="5619">
        <v>1</v>
      </c>
      <c r="G114" s="5724"/>
      <c r="H114" s="6003"/>
      <c r="I114" s="5732"/>
      <c r="J114" s="5734"/>
      <c r="K114" s="1486"/>
      <c r="L114" s="5669"/>
      <c r="M114" s="5669"/>
      <c r="N114" s="5669"/>
      <c r="O114" s="5669"/>
      <c r="P114" s="5669"/>
      <c r="Q114" s="5669"/>
      <c r="R114" s="5669"/>
      <c r="S114" s="5669"/>
      <c r="T114" s="5669"/>
      <c r="U114" s="5669"/>
      <c r="V114" s="5669"/>
      <c r="W114" s="81"/>
    </row>
    <row r="115" spans="1:23" s="660" customFormat="1" ht="13.5" customHeight="1">
      <c r="A115" s="5726"/>
      <c r="B115" s="5713"/>
      <c r="C115" s="5714"/>
      <c r="D115" s="5714" t="s">
        <v>11819</v>
      </c>
      <c r="E115" s="5714"/>
      <c r="F115" s="5619"/>
      <c r="G115" s="5724"/>
      <c r="H115" s="6003"/>
      <c r="I115" s="5729"/>
      <c r="J115" s="5735"/>
      <c r="K115" s="1618"/>
      <c r="L115" s="808"/>
      <c r="M115" s="808"/>
      <c r="N115" s="808"/>
      <c r="O115" s="808"/>
      <c r="P115" s="808"/>
      <c r="Q115" s="808"/>
      <c r="R115" s="772"/>
      <c r="S115" s="718"/>
    </row>
    <row r="116" spans="1:23" s="660" customFormat="1" ht="13.5" customHeight="1">
      <c r="A116" s="5726"/>
      <c r="B116" s="5713"/>
      <c r="C116" s="5714"/>
      <c r="D116" s="5714" t="s">
        <v>11820</v>
      </c>
      <c r="E116" s="5714"/>
      <c r="F116" s="5619"/>
      <c r="G116" s="5724"/>
      <c r="H116" s="6003"/>
      <c r="I116" s="5729"/>
      <c r="J116" s="5735"/>
      <c r="K116" s="5670"/>
      <c r="L116" s="5671"/>
      <c r="M116" s="5671"/>
      <c r="N116" s="5671"/>
      <c r="O116" s="808"/>
      <c r="P116" s="808"/>
      <c r="Q116" s="808"/>
      <c r="R116" s="772"/>
      <c r="S116" s="718"/>
    </row>
    <row r="117" spans="1:23" s="333" customFormat="1" ht="40.5" customHeight="1">
      <c r="A117" s="5712">
        <v>22</v>
      </c>
      <c r="B117" s="5713" t="s">
        <v>4103</v>
      </c>
      <c r="C117" s="5714" t="s">
        <v>11848</v>
      </c>
      <c r="D117" s="5715" t="s">
        <v>11849</v>
      </c>
      <c r="E117" s="5716" t="s">
        <v>155</v>
      </c>
      <c r="F117" s="5717">
        <f>SUM(F119:F119)</f>
        <v>1</v>
      </c>
      <c r="G117" s="5718"/>
      <c r="H117" s="6002">
        <f>F117*G117</f>
        <v>0</v>
      </c>
      <c r="I117" s="5719" t="s">
        <v>60</v>
      </c>
      <c r="J117" s="5730"/>
      <c r="K117" s="1325"/>
    </row>
    <row r="118" spans="1:23" ht="54" customHeight="1">
      <c r="A118" s="5721"/>
      <c r="B118" s="5714"/>
      <c r="C118" s="5714"/>
      <c r="D118" s="5722" t="s">
        <v>11839</v>
      </c>
      <c r="E118" s="5714"/>
      <c r="F118" s="5731"/>
      <c r="G118" s="5724"/>
      <c r="H118" s="6003"/>
      <c r="I118" s="5732"/>
      <c r="J118" s="5733"/>
      <c r="K118" s="1486"/>
      <c r="L118" s="5669"/>
      <c r="M118" s="5669"/>
      <c r="N118" s="5669"/>
      <c r="O118" s="5669"/>
      <c r="P118" s="5669"/>
      <c r="Q118" s="5669"/>
      <c r="R118" s="5669"/>
      <c r="S118" s="5669"/>
      <c r="T118" s="5669"/>
      <c r="U118" s="5669"/>
      <c r="V118" s="5669"/>
    </row>
    <row r="119" spans="1:23" s="660" customFormat="1" ht="13.5" customHeight="1">
      <c r="A119" s="5726"/>
      <c r="B119" s="5713"/>
      <c r="C119" s="5714"/>
      <c r="D119" s="5714" t="s">
        <v>11844</v>
      </c>
      <c r="E119" s="5714"/>
      <c r="F119" s="5619">
        <v>1</v>
      </c>
      <c r="G119" s="5724"/>
      <c r="H119" s="6003"/>
      <c r="I119" s="5732"/>
      <c r="J119" s="5734"/>
      <c r="K119" s="1486"/>
      <c r="L119" s="5669"/>
      <c r="M119" s="5669"/>
      <c r="N119" s="5669"/>
      <c r="O119" s="5669"/>
      <c r="P119" s="5669"/>
      <c r="Q119" s="5669"/>
      <c r="R119" s="5669"/>
      <c r="S119" s="5669"/>
      <c r="T119" s="5669"/>
      <c r="U119" s="5669"/>
      <c r="V119" s="5669"/>
      <c r="W119" s="81"/>
    </row>
    <row r="120" spans="1:23" s="660" customFormat="1" ht="13.5" customHeight="1">
      <c r="A120" s="5726"/>
      <c r="B120" s="5713"/>
      <c r="C120" s="5714"/>
      <c r="D120" s="5714" t="s">
        <v>11819</v>
      </c>
      <c r="E120" s="5714"/>
      <c r="F120" s="5619"/>
      <c r="G120" s="5724"/>
      <c r="H120" s="6003"/>
      <c r="I120" s="5729"/>
      <c r="J120" s="5735"/>
      <c r="K120" s="1618"/>
      <c r="L120" s="808"/>
      <c r="M120" s="808"/>
      <c r="N120" s="808"/>
      <c r="O120" s="808"/>
      <c r="P120" s="808"/>
      <c r="Q120" s="808"/>
      <c r="R120" s="772"/>
      <c r="S120" s="718"/>
    </row>
    <row r="121" spans="1:23" s="660" customFormat="1" ht="13.5" customHeight="1">
      <c r="A121" s="5726"/>
      <c r="B121" s="5713"/>
      <c r="C121" s="5714"/>
      <c r="D121" s="5714" t="s">
        <v>11820</v>
      </c>
      <c r="E121" s="5714"/>
      <c r="F121" s="5619"/>
      <c r="G121" s="5724"/>
      <c r="H121" s="6003"/>
      <c r="I121" s="5729"/>
      <c r="J121" s="5735"/>
      <c r="K121" s="5670"/>
      <c r="L121" s="5671"/>
      <c r="M121" s="5671"/>
      <c r="N121" s="5671"/>
      <c r="O121" s="808"/>
      <c r="P121" s="808"/>
      <c r="Q121" s="808"/>
      <c r="R121" s="772"/>
      <c r="S121" s="718"/>
    </row>
    <row r="122" spans="1:23" s="333" customFormat="1" ht="40.5" customHeight="1">
      <c r="A122" s="5712">
        <v>23</v>
      </c>
      <c r="B122" s="5713" t="s">
        <v>4103</v>
      </c>
      <c r="C122" s="5714" t="s">
        <v>11850</v>
      </c>
      <c r="D122" s="5715" t="s">
        <v>11851</v>
      </c>
      <c r="E122" s="5716" t="s">
        <v>155</v>
      </c>
      <c r="F122" s="5717">
        <f>SUM(F124:F124)</f>
        <v>1</v>
      </c>
      <c r="G122" s="5718"/>
      <c r="H122" s="6002">
        <f>F122*G122</f>
        <v>0</v>
      </c>
      <c r="I122" s="5719" t="s">
        <v>60</v>
      </c>
      <c r="J122" s="5730"/>
      <c r="K122" s="1325"/>
    </row>
    <row r="123" spans="1:23" ht="54" customHeight="1">
      <c r="A123" s="5721"/>
      <c r="B123" s="5714"/>
      <c r="C123" s="5714"/>
      <c r="D123" s="5722" t="s">
        <v>11839</v>
      </c>
      <c r="E123" s="5714"/>
      <c r="F123" s="5731"/>
      <c r="G123" s="5724"/>
      <c r="H123" s="6003"/>
      <c r="I123" s="5732"/>
      <c r="J123" s="5733"/>
      <c r="K123" s="1486"/>
      <c r="L123" s="5669"/>
      <c r="M123" s="5669"/>
      <c r="N123" s="5669"/>
      <c r="O123" s="5669"/>
      <c r="P123" s="5669"/>
      <c r="Q123" s="5669"/>
      <c r="R123" s="5669"/>
      <c r="S123" s="5669"/>
      <c r="T123" s="5669"/>
      <c r="U123" s="5669"/>
      <c r="V123" s="5669"/>
    </row>
    <row r="124" spans="1:23" s="660" customFormat="1" ht="13.5" customHeight="1">
      <c r="A124" s="5726"/>
      <c r="B124" s="5713"/>
      <c r="C124" s="5714"/>
      <c r="D124" s="5714" t="s">
        <v>11844</v>
      </c>
      <c r="E124" s="5714"/>
      <c r="F124" s="5619">
        <v>1</v>
      </c>
      <c r="G124" s="5724"/>
      <c r="H124" s="6003"/>
      <c r="I124" s="5732"/>
      <c r="J124" s="5734"/>
      <c r="K124" s="1486"/>
      <c r="L124" s="5669"/>
      <c r="M124" s="5669"/>
      <c r="N124" s="5669"/>
      <c r="O124" s="5669"/>
      <c r="P124" s="5669"/>
      <c r="Q124" s="5669"/>
      <c r="R124" s="5669"/>
      <c r="S124" s="5669"/>
      <c r="T124" s="5669"/>
      <c r="U124" s="5669"/>
      <c r="V124" s="5669"/>
      <c r="W124" s="81"/>
    </row>
    <row r="125" spans="1:23" s="660" customFormat="1" ht="13.5" customHeight="1">
      <c r="A125" s="5726"/>
      <c r="B125" s="5713"/>
      <c r="C125" s="5714"/>
      <c r="D125" s="5714" t="s">
        <v>11819</v>
      </c>
      <c r="E125" s="5714"/>
      <c r="F125" s="5619"/>
      <c r="G125" s="5724"/>
      <c r="H125" s="6003"/>
      <c r="I125" s="5729"/>
      <c r="J125" s="5735"/>
      <c r="K125" s="1618"/>
      <c r="L125" s="808"/>
      <c r="M125" s="808"/>
      <c r="N125" s="808"/>
      <c r="O125" s="808"/>
      <c r="P125" s="808"/>
      <c r="Q125" s="808"/>
      <c r="R125" s="772"/>
      <c r="S125" s="718"/>
    </row>
    <row r="126" spans="1:23" s="660" customFormat="1" ht="13.5" customHeight="1">
      <c r="A126" s="5726"/>
      <c r="B126" s="5713"/>
      <c r="C126" s="5714"/>
      <c r="D126" s="5714" t="s">
        <v>11820</v>
      </c>
      <c r="E126" s="5714"/>
      <c r="F126" s="5619"/>
      <c r="G126" s="5724"/>
      <c r="H126" s="6003"/>
      <c r="I126" s="5729"/>
      <c r="J126" s="5735"/>
      <c r="K126" s="5670"/>
      <c r="L126" s="5671"/>
      <c r="M126" s="5671"/>
      <c r="N126" s="5671"/>
      <c r="O126" s="808"/>
      <c r="P126" s="808"/>
      <c r="Q126" s="808"/>
      <c r="R126" s="772"/>
      <c r="S126" s="718"/>
    </row>
    <row r="127" spans="1:23" s="333" customFormat="1" ht="40.5" customHeight="1">
      <c r="A127" s="5712">
        <v>24</v>
      </c>
      <c r="B127" s="5713" t="s">
        <v>4103</v>
      </c>
      <c r="C127" s="5714" t="s">
        <v>11852</v>
      </c>
      <c r="D127" s="5715" t="s">
        <v>11853</v>
      </c>
      <c r="E127" s="5716" t="s">
        <v>155</v>
      </c>
      <c r="F127" s="5717">
        <f>SUM(F129:F129)</f>
        <v>1</v>
      </c>
      <c r="G127" s="5718"/>
      <c r="H127" s="6002">
        <f>F127*G127</f>
        <v>0</v>
      </c>
      <c r="I127" s="5719" t="s">
        <v>60</v>
      </c>
      <c r="J127" s="5730"/>
      <c r="K127" s="5887"/>
      <c r="L127" s="5887"/>
    </row>
    <row r="128" spans="1:23" ht="40.5" customHeight="1">
      <c r="A128" s="5721"/>
      <c r="B128" s="5714"/>
      <c r="C128" s="5714"/>
      <c r="D128" s="5722" t="s">
        <v>11854</v>
      </c>
      <c r="E128" s="5714"/>
      <c r="F128" s="5731"/>
      <c r="G128" s="5724"/>
      <c r="H128" s="6003"/>
      <c r="I128" s="5731"/>
      <c r="J128" s="5734"/>
      <c r="K128" s="5888"/>
      <c r="L128" s="5888"/>
      <c r="M128" s="5669"/>
      <c r="N128" s="5669"/>
      <c r="O128" s="5669"/>
      <c r="P128" s="5669"/>
      <c r="Q128" s="5669"/>
      <c r="R128" s="5669"/>
      <c r="S128" s="5669"/>
      <c r="T128" s="5669"/>
      <c r="U128" s="5669"/>
      <c r="V128" s="5669"/>
    </row>
    <row r="129" spans="1:23" s="660" customFormat="1" ht="13.5" customHeight="1">
      <c r="A129" s="5726"/>
      <c r="B129" s="5713"/>
      <c r="C129" s="5714"/>
      <c r="D129" s="5714" t="s">
        <v>11844</v>
      </c>
      <c r="E129" s="5714"/>
      <c r="F129" s="5619">
        <v>1</v>
      </c>
      <c r="G129" s="5724"/>
      <c r="H129" s="6003"/>
      <c r="I129" s="5732"/>
      <c r="J129" s="5736"/>
      <c r="K129" s="5672"/>
      <c r="L129" s="5673"/>
      <c r="M129" s="808"/>
      <c r="N129" s="808"/>
      <c r="O129" s="808"/>
      <c r="P129" s="808"/>
      <c r="Q129" s="808"/>
      <c r="R129" s="772"/>
      <c r="S129" s="718"/>
    </row>
    <row r="130" spans="1:23" s="660" customFormat="1" ht="13.5" customHeight="1">
      <c r="A130" s="5726"/>
      <c r="B130" s="5713"/>
      <c r="C130" s="5714"/>
      <c r="D130" s="5714" t="s">
        <v>11855</v>
      </c>
      <c r="E130" s="5714"/>
      <c r="F130" s="5619"/>
      <c r="G130" s="5724"/>
      <c r="H130" s="6003"/>
      <c r="I130" s="5729"/>
      <c r="J130" s="5736"/>
      <c r="K130" s="5672"/>
      <c r="L130" s="5674"/>
      <c r="M130" s="808"/>
      <c r="N130" s="808"/>
      <c r="O130" s="808"/>
      <c r="P130" s="808"/>
      <c r="Q130" s="808"/>
      <c r="R130" s="772"/>
      <c r="S130" s="718"/>
    </row>
    <row r="131" spans="1:23" s="660" customFormat="1" ht="13.5" customHeight="1">
      <c r="A131" s="5726"/>
      <c r="B131" s="5713"/>
      <c r="C131" s="5714"/>
      <c r="D131" s="5714" t="s">
        <v>11820</v>
      </c>
      <c r="E131" s="5714"/>
      <c r="F131" s="5619"/>
      <c r="G131" s="5724"/>
      <c r="H131" s="6003"/>
      <c r="I131" s="5729"/>
      <c r="J131" s="5736"/>
      <c r="K131" s="1618"/>
      <c r="L131" s="808"/>
      <c r="M131" s="808"/>
      <c r="N131" s="808"/>
      <c r="O131" s="808"/>
      <c r="P131" s="808"/>
      <c r="Q131" s="808"/>
      <c r="R131" s="772"/>
      <c r="S131" s="718"/>
    </row>
    <row r="132" spans="1:23" s="333" customFormat="1" ht="40.5" customHeight="1">
      <c r="A132" s="5712">
        <v>25</v>
      </c>
      <c r="B132" s="5713" t="s">
        <v>4103</v>
      </c>
      <c r="C132" s="5714" t="s">
        <v>11856</v>
      </c>
      <c r="D132" s="5715" t="s">
        <v>11857</v>
      </c>
      <c r="E132" s="5716" t="s">
        <v>155</v>
      </c>
      <c r="F132" s="5717">
        <f>SUM(F134:F134)</f>
        <v>1</v>
      </c>
      <c r="G132" s="5718"/>
      <c r="H132" s="6002">
        <f>F132*G132</f>
        <v>0</v>
      </c>
      <c r="I132" s="5719" t="s">
        <v>60</v>
      </c>
      <c r="J132" s="5730"/>
      <c r="K132" s="1325"/>
    </row>
    <row r="133" spans="1:23" ht="54" customHeight="1">
      <c r="A133" s="5721"/>
      <c r="B133" s="5714"/>
      <c r="C133" s="5714"/>
      <c r="D133" s="5722" t="s">
        <v>11839</v>
      </c>
      <c r="E133" s="5714"/>
      <c r="F133" s="5731"/>
      <c r="G133" s="5724"/>
      <c r="H133" s="6003"/>
      <c r="I133" s="5732"/>
      <c r="J133" s="5733"/>
      <c r="K133" s="1486"/>
      <c r="L133" s="5669"/>
      <c r="M133" s="5669"/>
      <c r="N133" s="5669"/>
      <c r="O133" s="5669"/>
      <c r="P133" s="5669"/>
      <c r="Q133" s="5669"/>
      <c r="R133" s="5669"/>
      <c r="S133" s="5669"/>
      <c r="T133" s="5669"/>
      <c r="U133" s="5669"/>
      <c r="V133" s="5669"/>
    </row>
    <row r="134" spans="1:23" s="660" customFormat="1" ht="13.5" customHeight="1">
      <c r="A134" s="5726"/>
      <c r="B134" s="5713"/>
      <c r="C134" s="5714"/>
      <c r="D134" s="5714" t="s">
        <v>11858</v>
      </c>
      <c r="E134" s="5714"/>
      <c r="F134" s="5619">
        <v>1</v>
      </c>
      <c r="G134" s="5724"/>
      <c r="H134" s="6003"/>
      <c r="I134" s="5732"/>
      <c r="J134" s="5734"/>
      <c r="K134" s="1486"/>
      <c r="L134" s="5669"/>
      <c r="M134" s="5669"/>
      <c r="N134" s="5669"/>
      <c r="O134" s="5669"/>
      <c r="P134" s="5669"/>
      <c r="Q134" s="5669"/>
      <c r="R134" s="5669"/>
      <c r="S134" s="5669"/>
      <c r="T134" s="5669"/>
      <c r="U134" s="5669"/>
      <c r="V134" s="5669"/>
      <c r="W134" s="81"/>
    </row>
    <row r="135" spans="1:23" s="660" customFormat="1" ht="13.5" customHeight="1">
      <c r="A135" s="5726"/>
      <c r="B135" s="5713"/>
      <c r="C135" s="5714"/>
      <c r="D135" s="5714" t="s">
        <v>11819</v>
      </c>
      <c r="E135" s="5714"/>
      <c r="F135" s="5619"/>
      <c r="G135" s="5724"/>
      <c r="H135" s="6003"/>
      <c r="I135" s="5729"/>
      <c r="J135" s="5735"/>
      <c r="K135" s="1618"/>
      <c r="L135" s="808"/>
      <c r="M135" s="808"/>
      <c r="N135" s="808"/>
      <c r="O135" s="808"/>
      <c r="P135" s="808"/>
      <c r="Q135" s="808"/>
      <c r="R135" s="772"/>
      <c r="S135" s="718"/>
    </row>
    <row r="136" spans="1:23" s="660" customFormat="1" ht="13.5" customHeight="1">
      <c r="A136" s="5726"/>
      <c r="B136" s="5713"/>
      <c r="C136" s="5714"/>
      <c r="D136" s="5714" t="s">
        <v>11820</v>
      </c>
      <c r="E136" s="5714"/>
      <c r="F136" s="5619"/>
      <c r="G136" s="5724"/>
      <c r="H136" s="6003"/>
      <c r="I136" s="5729"/>
      <c r="J136" s="5735"/>
      <c r="K136" s="5670"/>
      <c r="L136" s="5671"/>
      <c r="M136" s="5671"/>
      <c r="N136" s="5671"/>
      <c r="O136" s="808"/>
      <c r="P136" s="808"/>
      <c r="Q136" s="808"/>
      <c r="R136" s="772"/>
      <c r="S136" s="718"/>
    </row>
    <row r="137" spans="1:23" s="333" customFormat="1" ht="40.5" customHeight="1">
      <c r="A137" s="5712">
        <v>26</v>
      </c>
      <c r="B137" s="5713" t="s">
        <v>4103</v>
      </c>
      <c r="C137" s="5714" t="s">
        <v>11859</v>
      </c>
      <c r="D137" s="5715" t="s">
        <v>11860</v>
      </c>
      <c r="E137" s="5716" t="s">
        <v>155</v>
      </c>
      <c r="F137" s="5717">
        <f>SUM(F139:F139)</f>
        <v>1</v>
      </c>
      <c r="G137" s="5718"/>
      <c r="H137" s="6002">
        <f>F137*G137</f>
        <v>0</v>
      </c>
      <c r="I137" s="5719" t="s">
        <v>60</v>
      </c>
      <c r="J137" s="5730"/>
      <c r="K137" s="1325"/>
    </row>
    <row r="138" spans="1:23" ht="54" customHeight="1">
      <c r="A138" s="5721"/>
      <c r="B138" s="5714"/>
      <c r="C138" s="5714"/>
      <c r="D138" s="5722" t="s">
        <v>11847</v>
      </c>
      <c r="E138" s="5714"/>
      <c r="F138" s="5731"/>
      <c r="G138" s="5724"/>
      <c r="H138" s="6003"/>
      <c r="I138" s="5732"/>
      <c r="J138" s="5733"/>
      <c r="K138" s="1486"/>
      <c r="L138" s="5669"/>
      <c r="M138" s="5669"/>
      <c r="N138" s="5669"/>
      <c r="O138" s="5669"/>
      <c r="P138" s="5669"/>
      <c r="Q138" s="5669"/>
      <c r="R138" s="5669"/>
      <c r="S138" s="5669"/>
      <c r="T138" s="5669"/>
      <c r="U138" s="5669"/>
      <c r="V138" s="5669"/>
    </row>
    <row r="139" spans="1:23" s="660" customFormat="1" ht="13.5" customHeight="1">
      <c r="A139" s="5726"/>
      <c r="B139" s="5713"/>
      <c r="C139" s="5714"/>
      <c r="D139" s="5714" t="s">
        <v>11858</v>
      </c>
      <c r="E139" s="5714"/>
      <c r="F139" s="5619">
        <v>1</v>
      </c>
      <c r="G139" s="5724"/>
      <c r="H139" s="6003"/>
      <c r="I139" s="5732"/>
      <c r="J139" s="5734"/>
      <c r="K139" s="1486"/>
      <c r="L139" s="5669"/>
      <c r="M139" s="5669"/>
      <c r="N139" s="5669"/>
      <c r="O139" s="5669"/>
      <c r="P139" s="5669"/>
      <c r="Q139" s="5669"/>
      <c r="R139" s="5669"/>
      <c r="S139" s="5669"/>
      <c r="T139" s="5669"/>
      <c r="U139" s="5669"/>
      <c r="V139" s="5669"/>
      <c r="W139" s="81"/>
    </row>
    <row r="140" spans="1:23" s="660" customFormat="1" ht="13.5" customHeight="1">
      <c r="A140" s="5726"/>
      <c r="B140" s="5713"/>
      <c r="C140" s="5714"/>
      <c r="D140" s="5714" t="s">
        <v>11819</v>
      </c>
      <c r="E140" s="5714"/>
      <c r="F140" s="5619"/>
      <c r="G140" s="5724"/>
      <c r="H140" s="6003"/>
      <c r="I140" s="5729"/>
      <c r="J140" s="5735"/>
      <c r="K140" s="1618"/>
      <c r="L140" s="808"/>
      <c r="M140" s="808"/>
      <c r="N140" s="808"/>
      <c r="O140" s="808"/>
      <c r="P140" s="808"/>
      <c r="Q140" s="808"/>
      <c r="R140" s="772"/>
      <c r="S140" s="718"/>
    </row>
    <row r="141" spans="1:23" s="660" customFormat="1" ht="13.5" customHeight="1">
      <c r="A141" s="5726"/>
      <c r="B141" s="5713"/>
      <c r="C141" s="5714"/>
      <c r="D141" s="5714" t="s">
        <v>11820</v>
      </c>
      <c r="E141" s="5714"/>
      <c r="F141" s="5619"/>
      <c r="G141" s="5724"/>
      <c r="H141" s="6003"/>
      <c r="I141" s="5729"/>
      <c r="J141" s="5735"/>
      <c r="K141" s="5670"/>
      <c r="L141" s="5671"/>
      <c r="M141" s="5671"/>
      <c r="N141" s="5671"/>
      <c r="O141" s="808"/>
      <c r="P141" s="808"/>
      <c r="Q141" s="808"/>
      <c r="R141" s="772"/>
      <c r="S141" s="718"/>
    </row>
    <row r="142" spans="1:23" s="333" customFormat="1" ht="40.5" customHeight="1">
      <c r="A142" s="5712">
        <v>27</v>
      </c>
      <c r="B142" s="5713" t="s">
        <v>4103</v>
      </c>
      <c r="C142" s="5714" t="s">
        <v>11861</v>
      </c>
      <c r="D142" s="5715" t="s">
        <v>11862</v>
      </c>
      <c r="E142" s="5716" t="s">
        <v>155</v>
      </c>
      <c r="F142" s="5717">
        <f>SUM(F144:F144)</f>
        <v>1</v>
      </c>
      <c r="G142" s="5718"/>
      <c r="H142" s="6002">
        <f>F142*G142</f>
        <v>0</v>
      </c>
      <c r="I142" s="5719" t="s">
        <v>60</v>
      </c>
      <c r="J142" s="5730"/>
      <c r="K142" s="1325"/>
    </row>
    <row r="143" spans="1:23" ht="54" customHeight="1">
      <c r="A143" s="5721"/>
      <c r="B143" s="5714"/>
      <c r="C143" s="5714"/>
      <c r="D143" s="5722" t="s">
        <v>11839</v>
      </c>
      <c r="E143" s="5714"/>
      <c r="F143" s="5731"/>
      <c r="G143" s="5724"/>
      <c r="H143" s="6003"/>
      <c r="I143" s="5732"/>
      <c r="J143" s="5733"/>
      <c r="K143" s="1486"/>
      <c r="L143" s="5669"/>
      <c r="M143" s="5669"/>
      <c r="N143" s="5669"/>
      <c r="O143" s="5669"/>
      <c r="P143" s="5669"/>
      <c r="Q143" s="5669"/>
      <c r="R143" s="5669"/>
      <c r="S143" s="5669"/>
      <c r="T143" s="5669"/>
      <c r="U143" s="5669"/>
      <c r="V143" s="5669"/>
    </row>
    <row r="144" spans="1:23" s="660" customFormat="1" ht="13.5" customHeight="1">
      <c r="A144" s="5726"/>
      <c r="B144" s="5713"/>
      <c r="C144" s="5714"/>
      <c r="D144" s="5714" t="s">
        <v>11858</v>
      </c>
      <c r="E144" s="5714"/>
      <c r="F144" s="5619">
        <v>1</v>
      </c>
      <c r="G144" s="5724"/>
      <c r="H144" s="6003"/>
      <c r="I144" s="5732"/>
      <c r="J144" s="5734"/>
      <c r="K144" s="1486"/>
      <c r="L144" s="5669"/>
      <c r="M144" s="5669"/>
      <c r="N144" s="5669"/>
      <c r="O144" s="5669"/>
      <c r="P144" s="5669"/>
      <c r="Q144" s="5669"/>
      <c r="R144" s="5669"/>
      <c r="S144" s="5669"/>
      <c r="T144" s="5669"/>
      <c r="U144" s="5669"/>
      <c r="V144" s="5669"/>
      <c r="W144" s="81"/>
    </row>
    <row r="145" spans="1:23" s="660" customFormat="1" ht="13.5" customHeight="1">
      <c r="A145" s="5726"/>
      <c r="B145" s="5713"/>
      <c r="C145" s="5714"/>
      <c r="D145" s="5714" t="s">
        <v>11819</v>
      </c>
      <c r="E145" s="5714"/>
      <c r="F145" s="5619"/>
      <c r="G145" s="5724"/>
      <c r="H145" s="6003"/>
      <c r="I145" s="5729"/>
      <c r="J145" s="5735"/>
      <c r="K145" s="1618"/>
      <c r="L145" s="808"/>
      <c r="M145" s="808"/>
      <c r="N145" s="808"/>
      <c r="O145" s="808"/>
      <c r="P145" s="808"/>
      <c r="Q145" s="808"/>
      <c r="R145" s="772"/>
      <c r="S145" s="718"/>
    </row>
    <row r="146" spans="1:23" s="660" customFormat="1" ht="13.5" customHeight="1">
      <c r="A146" s="5726"/>
      <c r="B146" s="5713"/>
      <c r="C146" s="5714"/>
      <c r="D146" s="5714" t="s">
        <v>11820</v>
      </c>
      <c r="E146" s="5714"/>
      <c r="F146" s="5619"/>
      <c r="G146" s="5724"/>
      <c r="H146" s="6003"/>
      <c r="I146" s="5729"/>
      <c r="J146" s="5735"/>
      <c r="K146" s="5670"/>
      <c r="L146" s="5671"/>
      <c r="M146" s="5671"/>
      <c r="N146" s="5671"/>
      <c r="O146" s="808"/>
      <c r="P146" s="808"/>
      <c r="Q146" s="808"/>
      <c r="R146" s="772"/>
      <c r="S146" s="718"/>
    </row>
    <row r="147" spans="1:23" s="333" customFormat="1" ht="40.5" customHeight="1">
      <c r="A147" s="5712">
        <v>28</v>
      </c>
      <c r="B147" s="5713" t="s">
        <v>4103</v>
      </c>
      <c r="C147" s="5714" t="s">
        <v>11863</v>
      </c>
      <c r="D147" s="5715" t="s">
        <v>11864</v>
      </c>
      <c r="E147" s="5716" t="s">
        <v>155</v>
      </c>
      <c r="F147" s="5717">
        <f>SUM(F149:F149)</f>
        <v>1</v>
      </c>
      <c r="G147" s="5718"/>
      <c r="H147" s="6002">
        <f>F147*G147</f>
        <v>0</v>
      </c>
      <c r="I147" s="5719" t="s">
        <v>60</v>
      </c>
      <c r="J147" s="5730"/>
      <c r="K147" s="1325"/>
    </row>
    <row r="148" spans="1:23" ht="54" customHeight="1">
      <c r="A148" s="5721"/>
      <c r="B148" s="5714"/>
      <c r="C148" s="5714"/>
      <c r="D148" s="5722" t="s">
        <v>11839</v>
      </c>
      <c r="E148" s="5714"/>
      <c r="F148" s="5731"/>
      <c r="G148" s="5724"/>
      <c r="H148" s="6003"/>
      <c r="I148" s="5732"/>
      <c r="J148" s="5733"/>
      <c r="K148" s="1486"/>
      <c r="L148" s="5669"/>
      <c r="M148" s="5669"/>
      <c r="N148" s="5669"/>
      <c r="O148" s="5669"/>
      <c r="P148" s="5669"/>
      <c r="Q148" s="5669"/>
      <c r="R148" s="5669"/>
      <c r="S148" s="5669"/>
      <c r="T148" s="5669"/>
      <c r="U148" s="5669"/>
      <c r="V148" s="5669"/>
    </row>
    <row r="149" spans="1:23" s="660" customFormat="1" ht="13.5" customHeight="1">
      <c r="A149" s="5726"/>
      <c r="B149" s="5713"/>
      <c r="C149" s="5714"/>
      <c r="D149" s="5714" t="s">
        <v>11858</v>
      </c>
      <c r="E149" s="5714"/>
      <c r="F149" s="5619">
        <v>1</v>
      </c>
      <c r="G149" s="5724"/>
      <c r="H149" s="6003"/>
      <c r="I149" s="5732"/>
      <c r="J149" s="5734"/>
      <c r="K149" s="1486"/>
      <c r="L149" s="5669"/>
      <c r="M149" s="5669"/>
      <c r="N149" s="5669"/>
      <c r="O149" s="5669"/>
      <c r="P149" s="5669"/>
      <c r="Q149" s="5669"/>
      <c r="R149" s="5669"/>
      <c r="S149" s="5669"/>
      <c r="T149" s="5669"/>
      <c r="U149" s="5669"/>
      <c r="V149" s="5669"/>
      <c r="W149" s="81"/>
    </row>
    <row r="150" spans="1:23" s="660" customFormat="1" ht="13.5" customHeight="1">
      <c r="A150" s="5726"/>
      <c r="B150" s="5713"/>
      <c r="C150" s="5714"/>
      <c r="D150" s="5714" t="s">
        <v>11819</v>
      </c>
      <c r="E150" s="5714"/>
      <c r="F150" s="5619"/>
      <c r="G150" s="5724"/>
      <c r="H150" s="6003"/>
      <c r="I150" s="5729"/>
      <c r="J150" s="5735"/>
      <c r="K150" s="1618"/>
      <c r="L150" s="808"/>
      <c r="M150" s="808"/>
      <c r="N150" s="808"/>
      <c r="O150" s="808"/>
      <c r="P150" s="808"/>
      <c r="Q150" s="808"/>
      <c r="R150" s="772"/>
      <c r="S150" s="718"/>
    </row>
    <row r="151" spans="1:23" s="660" customFormat="1" ht="13.5" customHeight="1">
      <c r="A151" s="5726"/>
      <c r="B151" s="5713"/>
      <c r="C151" s="5714"/>
      <c r="D151" s="5714" t="s">
        <v>11820</v>
      </c>
      <c r="E151" s="5714"/>
      <c r="F151" s="5619"/>
      <c r="G151" s="5724"/>
      <c r="H151" s="6003"/>
      <c r="I151" s="5729"/>
      <c r="J151" s="5735"/>
      <c r="K151" s="5670"/>
      <c r="L151" s="5671"/>
      <c r="M151" s="5671"/>
      <c r="N151" s="5671"/>
      <c r="O151" s="808"/>
      <c r="P151" s="808"/>
      <c r="Q151" s="808"/>
      <c r="R151" s="772"/>
      <c r="S151" s="718"/>
    </row>
    <row r="152" spans="1:23" s="333" customFormat="1" ht="40.5" customHeight="1">
      <c r="A152" s="5712">
        <v>29</v>
      </c>
      <c r="B152" s="5713" t="s">
        <v>4103</v>
      </c>
      <c r="C152" s="5714" t="s">
        <v>11865</v>
      </c>
      <c r="D152" s="5715" t="s">
        <v>11866</v>
      </c>
      <c r="E152" s="5716" t="s">
        <v>155</v>
      </c>
      <c r="F152" s="5717">
        <f>SUM(F154:F154)</f>
        <v>1</v>
      </c>
      <c r="G152" s="5718"/>
      <c r="H152" s="6002">
        <f>F152*G152</f>
        <v>0</v>
      </c>
      <c r="I152" s="5719" t="s">
        <v>60</v>
      </c>
      <c r="J152" s="5730"/>
      <c r="K152" s="5887"/>
      <c r="L152" s="5887"/>
    </row>
    <row r="153" spans="1:23" ht="40.5" customHeight="1">
      <c r="A153" s="5721"/>
      <c r="B153" s="5714"/>
      <c r="C153" s="5714"/>
      <c r="D153" s="5722" t="s">
        <v>11854</v>
      </c>
      <c r="E153" s="5714"/>
      <c r="F153" s="5731"/>
      <c r="G153" s="5724"/>
      <c r="H153" s="6003"/>
      <c r="I153" s="5731"/>
      <c r="J153" s="5734"/>
      <c r="K153" s="5888"/>
      <c r="L153" s="5888"/>
      <c r="M153" s="5669"/>
      <c r="N153" s="5669"/>
      <c r="O153" s="5669"/>
      <c r="P153" s="5669"/>
      <c r="Q153" s="5669"/>
      <c r="R153" s="5669"/>
      <c r="S153" s="5669"/>
      <c r="T153" s="5669"/>
      <c r="U153" s="5669"/>
      <c r="V153" s="5669"/>
    </row>
    <row r="154" spans="1:23" s="660" customFormat="1" ht="13.5" customHeight="1">
      <c r="A154" s="5726"/>
      <c r="B154" s="5713"/>
      <c r="C154" s="5714"/>
      <c r="D154" s="5714" t="s">
        <v>11844</v>
      </c>
      <c r="E154" s="5714"/>
      <c r="F154" s="5619">
        <v>1</v>
      </c>
      <c r="G154" s="5724"/>
      <c r="H154" s="6003"/>
      <c r="I154" s="5732"/>
      <c r="J154" s="5736"/>
      <c r="K154" s="5672"/>
      <c r="L154" s="5673"/>
      <c r="M154" s="808"/>
      <c r="N154" s="808"/>
      <c r="O154" s="808"/>
      <c r="P154" s="808"/>
      <c r="Q154" s="808"/>
      <c r="R154" s="772"/>
      <c r="S154" s="718"/>
    </row>
    <row r="155" spans="1:23" s="660" customFormat="1" ht="13.5" customHeight="1">
      <c r="A155" s="5726"/>
      <c r="B155" s="5713"/>
      <c r="C155" s="5714"/>
      <c r="D155" s="5714" t="s">
        <v>11855</v>
      </c>
      <c r="E155" s="5714"/>
      <c r="F155" s="5619"/>
      <c r="G155" s="5724"/>
      <c r="H155" s="6003"/>
      <c r="I155" s="5729"/>
      <c r="J155" s="5736"/>
      <c r="K155" s="5672"/>
      <c r="L155" s="5674"/>
      <c r="M155" s="808"/>
      <c r="N155" s="808"/>
      <c r="O155" s="808"/>
      <c r="P155" s="808"/>
      <c r="Q155" s="808"/>
      <c r="R155" s="772"/>
      <c r="S155" s="718"/>
    </row>
    <row r="156" spans="1:23" s="660" customFormat="1" ht="13.5" customHeight="1">
      <c r="A156" s="5726"/>
      <c r="B156" s="5713"/>
      <c r="C156" s="5714"/>
      <c r="D156" s="5714" t="s">
        <v>11820</v>
      </c>
      <c r="E156" s="5714"/>
      <c r="F156" s="5619"/>
      <c r="G156" s="5724"/>
      <c r="H156" s="6003"/>
      <c r="I156" s="5729"/>
      <c r="J156" s="5736"/>
      <c r="K156" s="1618"/>
      <c r="L156" s="808"/>
      <c r="M156" s="808"/>
      <c r="N156" s="808"/>
      <c r="O156" s="808"/>
      <c r="P156" s="808"/>
      <c r="Q156" s="808"/>
      <c r="R156" s="772"/>
      <c r="S156" s="718"/>
    </row>
    <row r="157" spans="1:23" s="333" customFormat="1" ht="27" customHeight="1">
      <c r="A157" s="5712">
        <v>30</v>
      </c>
      <c r="B157" s="5713" t="s">
        <v>4103</v>
      </c>
      <c r="C157" s="5714" t="s">
        <v>11867</v>
      </c>
      <c r="D157" s="5715" t="s">
        <v>11868</v>
      </c>
      <c r="E157" s="5716" t="s">
        <v>155</v>
      </c>
      <c r="F157" s="5717">
        <f>SUM(F159:F159)</f>
        <v>1</v>
      </c>
      <c r="G157" s="5718"/>
      <c r="H157" s="6002">
        <f>F157*G157</f>
        <v>0</v>
      </c>
      <c r="I157" s="5719" t="s">
        <v>60</v>
      </c>
      <c r="J157" s="5730"/>
      <c r="K157" s="1325"/>
    </row>
    <row r="158" spans="1:23" ht="40.5" customHeight="1">
      <c r="A158" s="5721"/>
      <c r="B158" s="5714"/>
      <c r="C158" s="5714"/>
      <c r="D158" s="5722" t="s">
        <v>11869</v>
      </c>
      <c r="E158" s="5714"/>
      <c r="F158" s="5731"/>
      <c r="G158" s="5724"/>
      <c r="H158" s="6003"/>
      <c r="I158" s="5732"/>
      <c r="J158" s="5733"/>
      <c r="K158" s="1486"/>
      <c r="L158" s="5669"/>
      <c r="M158" s="5669"/>
      <c r="N158" s="5669"/>
      <c r="O158" s="5669"/>
      <c r="P158" s="5669"/>
      <c r="Q158" s="5669"/>
      <c r="R158" s="5669"/>
      <c r="S158" s="5669"/>
      <c r="T158" s="5669"/>
      <c r="U158" s="5669"/>
      <c r="V158" s="5669"/>
    </row>
    <row r="159" spans="1:23" s="660" customFormat="1" ht="13.5" customHeight="1">
      <c r="A159" s="5726"/>
      <c r="B159" s="5713"/>
      <c r="C159" s="5714"/>
      <c r="D159" s="5714" t="s">
        <v>11844</v>
      </c>
      <c r="E159" s="5714"/>
      <c r="F159" s="5619">
        <v>1</v>
      </c>
      <c r="G159" s="5724"/>
      <c r="H159" s="6003"/>
      <c r="I159" s="5732"/>
      <c r="J159" s="5734"/>
      <c r="K159" s="1486"/>
      <c r="L159" s="5669"/>
      <c r="M159" s="5669"/>
      <c r="N159" s="5669"/>
      <c r="O159" s="5669"/>
      <c r="P159" s="5669"/>
      <c r="Q159" s="5669"/>
      <c r="R159" s="5669"/>
      <c r="S159" s="5669"/>
      <c r="T159" s="5669"/>
      <c r="U159" s="5669"/>
      <c r="V159" s="5669"/>
      <c r="W159" s="81"/>
    </row>
    <row r="160" spans="1:23" s="660" customFormat="1" ht="13.5" customHeight="1">
      <c r="A160" s="5726"/>
      <c r="B160" s="5713"/>
      <c r="C160" s="5714"/>
      <c r="D160" s="5714" t="s">
        <v>11855</v>
      </c>
      <c r="E160" s="5714"/>
      <c r="F160" s="5619"/>
      <c r="G160" s="5724"/>
      <c r="H160" s="6003"/>
      <c r="I160" s="5729"/>
      <c r="J160" s="5735"/>
      <c r="K160" s="1618"/>
      <c r="L160" s="808"/>
      <c r="M160" s="808"/>
      <c r="N160" s="808"/>
      <c r="O160" s="808"/>
      <c r="P160" s="808"/>
      <c r="Q160" s="808"/>
      <c r="R160" s="772"/>
      <c r="S160" s="718"/>
    </row>
    <row r="161" spans="1:24" s="660" customFormat="1" ht="13.5" customHeight="1">
      <c r="A161" s="5726"/>
      <c r="B161" s="5713"/>
      <c r="C161" s="5714"/>
      <c r="D161" s="5714" t="s">
        <v>11820</v>
      </c>
      <c r="E161" s="5714"/>
      <c r="F161" s="5619"/>
      <c r="G161" s="5724"/>
      <c r="H161" s="6003"/>
      <c r="I161" s="5729"/>
      <c r="J161" s="5735"/>
      <c r="K161" s="5670"/>
      <c r="L161" s="5671"/>
      <c r="M161" s="5671"/>
      <c r="N161" s="5671"/>
      <c r="O161" s="808"/>
      <c r="P161" s="808"/>
      <c r="Q161" s="808"/>
      <c r="R161" s="772"/>
      <c r="S161" s="718"/>
    </row>
    <row r="162" spans="1:24" s="333" customFormat="1" ht="27" customHeight="1">
      <c r="A162" s="5712">
        <v>31</v>
      </c>
      <c r="B162" s="5713" t="s">
        <v>4103</v>
      </c>
      <c r="C162" s="5714" t="s">
        <v>11870</v>
      </c>
      <c r="D162" s="5715" t="s">
        <v>11871</v>
      </c>
      <c r="E162" s="5716" t="s">
        <v>155</v>
      </c>
      <c r="F162" s="5717">
        <f>SUM(F164:F164)</f>
        <v>1</v>
      </c>
      <c r="G162" s="5718"/>
      <c r="H162" s="6002">
        <f>F162*G162</f>
        <v>0</v>
      </c>
      <c r="I162" s="5719" t="s">
        <v>60</v>
      </c>
      <c r="J162" s="5730"/>
      <c r="K162" s="1325"/>
    </row>
    <row r="163" spans="1:24" ht="40.5" customHeight="1">
      <c r="A163" s="5721"/>
      <c r="B163" s="5714"/>
      <c r="C163" s="5714"/>
      <c r="D163" s="5722" t="s">
        <v>11872</v>
      </c>
      <c r="E163" s="5714"/>
      <c r="F163" s="5731"/>
      <c r="G163" s="5724"/>
      <c r="H163" s="6003"/>
      <c r="I163" s="5732"/>
      <c r="J163" s="5733"/>
      <c r="K163" s="1486"/>
      <c r="L163" s="5669"/>
      <c r="M163" s="5669"/>
      <c r="N163" s="5669"/>
      <c r="O163" s="5669"/>
      <c r="P163" s="5669"/>
      <c r="Q163" s="5669"/>
      <c r="R163" s="5669"/>
      <c r="S163" s="5669"/>
      <c r="T163" s="5669"/>
      <c r="U163" s="5669"/>
      <c r="V163" s="5669"/>
    </row>
    <row r="164" spans="1:24" s="660" customFormat="1" ht="13.5" customHeight="1">
      <c r="A164" s="5726"/>
      <c r="B164" s="5713"/>
      <c r="C164" s="5714"/>
      <c r="D164" s="5714" t="s">
        <v>11844</v>
      </c>
      <c r="E164" s="5714"/>
      <c r="F164" s="5619">
        <v>1</v>
      </c>
      <c r="G164" s="5724"/>
      <c r="H164" s="6003"/>
      <c r="I164" s="5732"/>
      <c r="J164" s="5734"/>
      <c r="K164" s="1486"/>
      <c r="L164" s="5669"/>
      <c r="M164" s="5669"/>
      <c r="N164" s="5669"/>
      <c r="O164" s="5669"/>
      <c r="P164" s="5669"/>
      <c r="Q164" s="5669"/>
      <c r="R164" s="5669"/>
      <c r="S164" s="5669"/>
      <c r="T164" s="5669"/>
      <c r="U164" s="5669"/>
      <c r="V164" s="5669"/>
      <c r="W164" s="81"/>
    </row>
    <row r="165" spans="1:24" s="660" customFormat="1" ht="13.5" customHeight="1">
      <c r="A165" s="5726"/>
      <c r="B165" s="5713"/>
      <c r="C165" s="5714"/>
      <c r="D165" s="5714" t="s">
        <v>11855</v>
      </c>
      <c r="E165" s="5714"/>
      <c r="F165" s="5619"/>
      <c r="G165" s="5724"/>
      <c r="H165" s="6003"/>
      <c r="I165" s="5729"/>
      <c r="J165" s="5735"/>
      <c r="K165" s="1618"/>
      <c r="L165" s="808"/>
      <c r="M165" s="808"/>
      <c r="N165" s="808"/>
      <c r="O165" s="808"/>
      <c r="P165" s="808"/>
      <c r="Q165" s="808"/>
      <c r="R165" s="772"/>
      <c r="S165" s="718"/>
    </row>
    <row r="166" spans="1:24" s="660" customFormat="1" ht="13.5" customHeight="1">
      <c r="A166" s="5726"/>
      <c r="B166" s="5713"/>
      <c r="C166" s="5714"/>
      <c r="D166" s="5714" t="s">
        <v>11820</v>
      </c>
      <c r="E166" s="5714"/>
      <c r="F166" s="5619"/>
      <c r="G166" s="5724"/>
      <c r="H166" s="6003"/>
      <c r="I166" s="5729"/>
      <c r="J166" s="5735"/>
      <c r="K166" s="5670"/>
      <c r="L166" s="5671"/>
      <c r="M166" s="5671"/>
      <c r="N166" s="5671"/>
      <c r="O166" s="808"/>
      <c r="P166" s="808"/>
      <c r="Q166" s="808"/>
      <c r="R166" s="772"/>
      <c r="S166" s="718"/>
    </row>
    <row r="167" spans="1:24" s="333" customFormat="1" ht="27" customHeight="1">
      <c r="A167" s="5712">
        <v>32</v>
      </c>
      <c r="B167" s="5713" t="s">
        <v>4103</v>
      </c>
      <c r="C167" s="5714" t="s">
        <v>11873</v>
      </c>
      <c r="D167" s="5715" t="s">
        <v>11874</v>
      </c>
      <c r="E167" s="5716" t="s">
        <v>155</v>
      </c>
      <c r="F167" s="5717">
        <f>SUM(F169:F169)</f>
        <v>1</v>
      </c>
      <c r="G167" s="5718"/>
      <c r="H167" s="6002">
        <f>F167*G167</f>
        <v>0</v>
      </c>
      <c r="I167" s="5719" t="s">
        <v>60</v>
      </c>
      <c r="J167" s="5700"/>
      <c r="K167" s="1325"/>
      <c r="X167" s="701"/>
    </row>
    <row r="168" spans="1:24" ht="54" customHeight="1">
      <c r="A168" s="5721"/>
      <c r="B168" s="5714"/>
      <c r="C168" s="5714"/>
      <c r="D168" s="5714" t="s">
        <v>11875</v>
      </c>
      <c r="E168" s="5714"/>
      <c r="F168" s="5723"/>
      <c r="G168" s="5724"/>
      <c r="H168" s="6003"/>
      <c r="I168" s="5724"/>
      <c r="J168" s="5700"/>
      <c r="K168" s="1325"/>
      <c r="X168" s="701"/>
    </row>
    <row r="169" spans="1:24" s="660" customFormat="1" ht="13.5" customHeight="1">
      <c r="A169" s="5726"/>
      <c r="B169" s="5713"/>
      <c r="C169" s="5714"/>
      <c r="D169" s="5714" t="s">
        <v>11844</v>
      </c>
      <c r="E169" s="5714"/>
      <c r="F169" s="5619">
        <v>1</v>
      </c>
      <c r="G169" s="5724"/>
      <c r="H169" s="6003"/>
      <c r="I169" s="5724"/>
      <c r="J169" s="5700"/>
      <c r="K169" s="5675"/>
      <c r="L169" s="808"/>
      <c r="M169" s="808"/>
      <c r="N169" s="808"/>
      <c r="O169" s="808"/>
      <c r="P169" s="808"/>
      <c r="Q169" s="808"/>
      <c r="R169" s="772"/>
      <c r="S169" s="718"/>
    </row>
    <row r="170" spans="1:24" s="660" customFormat="1" ht="13.5" customHeight="1">
      <c r="A170" s="5726"/>
      <c r="B170" s="5713"/>
      <c r="C170" s="5714"/>
      <c r="D170" s="5714" t="s">
        <v>11876</v>
      </c>
      <c r="E170" s="5714"/>
      <c r="F170" s="5619"/>
      <c r="G170" s="5724"/>
      <c r="H170" s="6003"/>
      <c r="I170" s="5737"/>
      <c r="J170" s="5736"/>
      <c r="K170" s="5676"/>
      <c r="L170" s="808"/>
      <c r="M170" s="808"/>
      <c r="N170" s="808"/>
      <c r="O170" s="808"/>
      <c r="P170" s="808"/>
      <c r="Q170" s="808"/>
      <c r="R170" s="772"/>
      <c r="S170" s="718"/>
    </row>
    <row r="171" spans="1:24" s="333" customFormat="1" ht="27" customHeight="1">
      <c r="A171" s="5712">
        <v>33</v>
      </c>
      <c r="B171" s="5713" t="s">
        <v>4103</v>
      </c>
      <c r="C171" s="5714" t="s">
        <v>11877</v>
      </c>
      <c r="D171" s="5715" t="s">
        <v>11878</v>
      </c>
      <c r="E171" s="5716" t="s">
        <v>155</v>
      </c>
      <c r="F171" s="5717">
        <f>SUM(F173:F173)</f>
        <v>1</v>
      </c>
      <c r="G171" s="5718"/>
      <c r="H171" s="6002">
        <f>F171*G171</f>
        <v>0</v>
      </c>
      <c r="I171" s="5719" t="s">
        <v>60</v>
      </c>
      <c r="J171" s="5730"/>
      <c r="K171" s="1325"/>
    </row>
    <row r="172" spans="1:24" ht="40.5" customHeight="1">
      <c r="A172" s="5721"/>
      <c r="B172" s="5714"/>
      <c r="C172" s="5714"/>
      <c r="D172" s="5722" t="s">
        <v>11869</v>
      </c>
      <c r="E172" s="5714"/>
      <c r="F172" s="5731"/>
      <c r="G172" s="5724"/>
      <c r="H172" s="6003"/>
      <c r="I172" s="5732"/>
      <c r="J172" s="5733"/>
      <c r="K172" s="1486"/>
      <c r="L172" s="5669"/>
      <c r="M172" s="5669"/>
      <c r="N172" s="5669"/>
      <c r="O172" s="5669"/>
      <c r="P172" s="5669"/>
      <c r="Q172" s="5669"/>
      <c r="R172" s="5669"/>
      <c r="S172" s="5669"/>
      <c r="T172" s="5669"/>
      <c r="U172" s="5669"/>
      <c r="V172" s="5669"/>
    </row>
    <row r="173" spans="1:24" s="660" customFormat="1" ht="13.5" customHeight="1">
      <c r="A173" s="5726"/>
      <c r="B173" s="5713"/>
      <c r="C173" s="5714"/>
      <c r="D173" s="5714" t="s">
        <v>11858</v>
      </c>
      <c r="E173" s="5714"/>
      <c r="F173" s="5619">
        <v>1</v>
      </c>
      <c r="G173" s="5724"/>
      <c r="H173" s="6003"/>
      <c r="I173" s="5732"/>
      <c r="J173" s="5734"/>
      <c r="K173" s="1486"/>
      <c r="L173" s="5669"/>
      <c r="M173" s="5669"/>
      <c r="N173" s="5669"/>
      <c r="O173" s="5669"/>
      <c r="P173" s="5669"/>
      <c r="Q173" s="5669"/>
      <c r="R173" s="5669"/>
      <c r="S173" s="5669"/>
      <c r="T173" s="5669"/>
      <c r="U173" s="5669"/>
      <c r="V173" s="5669"/>
      <c r="W173" s="81"/>
    </row>
    <row r="174" spans="1:24" s="660" customFormat="1" ht="13.5" customHeight="1">
      <c r="A174" s="5726"/>
      <c r="B174" s="5713"/>
      <c r="C174" s="5714"/>
      <c r="D174" s="5714" t="s">
        <v>11855</v>
      </c>
      <c r="E174" s="5714"/>
      <c r="F174" s="5619"/>
      <c r="G174" s="5724"/>
      <c r="H174" s="6003"/>
      <c r="I174" s="5729"/>
      <c r="J174" s="5735"/>
      <c r="K174" s="1618"/>
      <c r="L174" s="808"/>
      <c r="M174" s="808"/>
      <c r="N174" s="808"/>
      <c r="O174" s="808"/>
      <c r="P174" s="808"/>
      <c r="Q174" s="808"/>
      <c r="R174" s="772"/>
      <c r="S174" s="718"/>
    </row>
    <row r="175" spans="1:24" s="660" customFormat="1" ht="13.5" customHeight="1">
      <c r="A175" s="5726"/>
      <c r="B175" s="5713"/>
      <c r="C175" s="5714"/>
      <c r="D175" s="5714" t="s">
        <v>11820</v>
      </c>
      <c r="E175" s="5714"/>
      <c r="F175" s="5619"/>
      <c r="G175" s="5724"/>
      <c r="H175" s="6003"/>
      <c r="I175" s="5729"/>
      <c r="J175" s="5735"/>
      <c r="K175" s="5670"/>
      <c r="L175" s="5671"/>
      <c r="M175" s="5671"/>
      <c r="N175" s="5671"/>
      <c r="O175" s="808"/>
      <c r="P175" s="808"/>
      <c r="Q175" s="808"/>
      <c r="R175" s="772"/>
      <c r="S175" s="718"/>
    </row>
    <row r="176" spans="1:24" s="333" customFormat="1" ht="27" customHeight="1">
      <c r="A176" s="5712">
        <v>34</v>
      </c>
      <c r="B176" s="5713" t="s">
        <v>4103</v>
      </c>
      <c r="C176" s="5714" t="s">
        <v>11879</v>
      </c>
      <c r="D176" s="5715" t="s">
        <v>11880</v>
      </c>
      <c r="E176" s="5716" t="s">
        <v>155</v>
      </c>
      <c r="F176" s="5717">
        <f>SUM(F178:F178)</f>
        <v>1</v>
      </c>
      <c r="G176" s="5718"/>
      <c r="H176" s="6002">
        <f>F176*G176</f>
        <v>0</v>
      </c>
      <c r="I176" s="5719" t="s">
        <v>60</v>
      </c>
      <c r="J176" s="5730"/>
      <c r="K176" s="1325"/>
    </row>
    <row r="177" spans="1:24" ht="40.5" customHeight="1">
      <c r="A177" s="5721"/>
      <c r="B177" s="5714"/>
      <c r="C177" s="5714"/>
      <c r="D177" s="5722" t="s">
        <v>11872</v>
      </c>
      <c r="E177" s="5714"/>
      <c r="F177" s="5731"/>
      <c r="G177" s="5724"/>
      <c r="H177" s="6003"/>
      <c r="I177" s="5732"/>
      <c r="J177" s="5733"/>
      <c r="K177" s="1486"/>
      <c r="L177" s="5669"/>
      <c r="M177" s="5669"/>
      <c r="N177" s="5669"/>
      <c r="O177" s="5669"/>
      <c r="P177" s="5669"/>
      <c r="Q177" s="5669"/>
      <c r="R177" s="5669"/>
      <c r="S177" s="5669"/>
      <c r="T177" s="5669"/>
      <c r="U177" s="5669"/>
      <c r="V177" s="5669"/>
    </row>
    <row r="178" spans="1:24" s="660" customFormat="1" ht="13.5" customHeight="1">
      <c r="A178" s="5726"/>
      <c r="B178" s="5713"/>
      <c r="C178" s="5714"/>
      <c r="D178" s="5714" t="s">
        <v>11858</v>
      </c>
      <c r="E178" s="5714"/>
      <c r="F178" s="5619">
        <v>1</v>
      </c>
      <c r="G178" s="5724"/>
      <c r="H178" s="6003"/>
      <c r="I178" s="5732"/>
      <c r="J178" s="5734"/>
      <c r="K178" s="1486"/>
      <c r="L178" s="5669"/>
      <c r="M178" s="5669"/>
      <c r="N178" s="5669"/>
      <c r="O178" s="5669"/>
      <c r="P178" s="5669"/>
      <c r="Q178" s="5669"/>
      <c r="R178" s="5669"/>
      <c r="S178" s="5669"/>
      <c r="T178" s="5669"/>
      <c r="U178" s="5669"/>
      <c r="V178" s="5669"/>
      <c r="W178" s="81"/>
    </row>
    <row r="179" spans="1:24" s="660" customFormat="1" ht="13.5" customHeight="1">
      <c r="A179" s="5726"/>
      <c r="B179" s="5713"/>
      <c r="C179" s="5714"/>
      <c r="D179" s="5714" t="s">
        <v>11855</v>
      </c>
      <c r="E179" s="5714"/>
      <c r="F179" s="5619"/>
      <c r="G179" s="5724"/>
      <c r="H179" s="6003"/>
      <c r="I179" s="5729"/>
      <c r="J179" s="5735"/>
      <c r="K179" s="1618"/>
      <c r="L179" s="808"/>
      <c r="M179" s="808"/>
      <c r="N179" s="808"/>
      <c r="O179" s="808"/>
      <c r="P179" s="808"/>
      <c r="Q179" s="808"/>
      <c r="R179" s="772"/>
      <c r="S179" s="718"/>
    </row>
    <row r="180" spans="1:24" s="660" customFormat="1" ht="13.5" customHeight="1">
      <c r="A180" s="5726"/>
      <c r="B180" s="5713"/>
      <c r="C180" s="5714"/>
      <c r="D180" s="5714" t="s">
        <v>11820</v>
      </c>
      <c r="E180" s="5714"/>
      <c r="F180" s="5619"/>
      <c r="G180" s="5724"/>
      <c r="H180" s="6003"/>
      <c r="I180" s="5729"/>
      <c r="J180" s="5735"/>
      <c r="K180" s="5670"/>
      <c r="L180" s="5671"/>
      <c r="M180" s="5671"/>
      <c r="N180" s="5671"/>
      <c r="O180" s="808"/>
      <c r="P180" s="808"/>
      <c r="Q180" s="808"/>
      <c r="R180" s="772"/>
      <c r="S180" s="718"/>
    </row>
    <row r="181" spans="1:24" s="333" customFormat="1" ht="27" customHeight="1">
      <c r="A181" s="5712">
        <v>35</v>
      </c>
      <c r="B181" s="5713" t="s">
        <v>4103</v>
      </c>
      <c r="C181" s="5714" t="s">
        <v>11873</v>
      </c>
      <c r="D181" s="5715" t="s">
        <v>11881</v>
      </c>
      <c r="E181" s="5716" t="s">
        <v>155</v>
      </c>
      <c r="F181" s="5717">
        <f>SUM(F183:F183)</f>
        <v>1</v>
      </c>
      <c r="G181" s="5718"/>
      <c r="H181" s="6002">
        <f>F181*G181</f>
        <v>0</v>
      </c>
      <c r="I181" s="5719" t="s">
        <v>60</v>
      </c>
      <c r="J181" s="5700"/>
      <c r="K181" s="1325"/>
      <c r="X181" s="701"/>
    </row>
    <row r="182" spans="1:24" ht="54" customHeight="1">
      <c r="A182" s="5721"/>
      <c r="B182" s="5714"/>
      <c r="C182" s="5714"/>
      <c r="D182" s="5714" t="s">
        <v>11875</v>
      </c>
      <c r="E182" s="5714"/>
      <c r="F182" s="5723"/>
      <c r="G182" s="5724"/>
      <c r="H182" s="6003"/>
      <c r="I182" s="5724"/>
      <c r="J182" s="5700"/>
      <c r="K182" s="1325"/>
      <c r="X182" s="701"/>
    </row>
    <row r="183" spans="1:24" s="660" customFormat="1" ht="13.5" customHeight="1">
      <c r="A183" s="5726"/>
      <c r="B183" s="5713"/>
      <c r="C183" s="5714"/>
      <c r="D183" s="5714" t="s">
        <v>11858</v>
      </c>
      <c r="E183" s="5714"/>
      <c r="F183" s="5619">
        <v>1</v>
      </c>
      <c r="G183" s="5724"/>
      <c r="H183" s="6003"/>
      <c r="I183" s="5724"/>
      <c r="J183" s="5700"/>
      <c r="K183" s="5675"/>
      <c r="L183" s="808"/>
      <c r="M183" s="808"/>
      <c r="N183" s="808"/>
      <c r="O183" s="808"/>
      <c r="P183" s="808"/>
      <c r="Q183" s="808"/>
      <c r="R183" s="772"/>
      <c r="S183" s="718"/>
    </row>
    <row r="184" spans="1:24" s="660" customFormat="1" ht="13.5" customHeight="1">
      <c r="A184" s="5726"/>
      <c r="B184" s="5713"/>
      <c r="C184" s="5714"/>
      <c r="D184" s="5714" t="s">
        <v>11876</v>
      </c>
      <c r="E184" s="5714"/>
      <c r="F184" s="5619"/>
      <c r="G184" s="5724"/>
      <c r="H184" s="6003"/>
      <c r="I184" s="5737"/>
      <c r="J184" s="5736"/>
      <c r="K184" s="5676"/>
      <c r="L184" s="808"/>
      <c r="M184" s="808"/>
      <c r="N184" s="808"/>
      <c r="O184" s="808"/>
      <c r="P184" s="808"/>
      <c r="Q184" s="808"/>
      <c r="R184" s="772"/>
      <c r="S184" s="718"/>
    </row>
    <row r="185" spans="1:24" s="90" customFormat="1" ht="27" customHeight="1">
      <c r="A185" s="5738">
        <v>36</v>
      </c>
      <c r="B185" s="5739" t="s">
        <v>4103</v>
      </c>
      <c r="C185" s="5714" t="s">
        <v>11877</v>
      </c>
      <c r="D185" s="5740" t="s">
        <v>11882</v>
      </c>
      <c r="E185" s="5741" t="s">
        <v>23</v>
      </c>
      <c r="F185" s="5742">
        <f>SUM(F189:F190)</f>
        <v>2</v>
      </c>
      <c r="G185" s="5743"/>
      <c r="H185" s="6004">
        <f>F185*G185</f>
        <v>0</v>
      </c>
      <c r="I185" s="5744" t="s">
        <v>60</v>
      </c>
      <c r="J185" s="5745"/>
      <c r="K185" s="1325"/>
    </row>
    <row r="186" spans="1:24" s="5678" customFormat="1" ht="40.5" customHeight="1">
      <c r="A186" s="5721"/>
      <c r="B186" s="5746"/>
      <c r="C186" s="5746"/>
      <c r="D186" s="5747" t="s">
        <v>12196</v>
      </c>
      <c r="E186" s="5746"/>
      <c r="F186" s="5748"/>
      <c r="G186" s="5749"/>
      <c r="H186" s="6005"/>
      <c r="I186" s="5750"/>
      <c r="J186" s="5751"/>
      <c r="K186" s="1486"/>
      <c r="L186" s="5677"/>
      <c r="M186" s="5677"/>
      <c r="N186" s="5677"/>
      <c r="O186" s="5677"/>
      <c r="P186" s="5677"/>
      <c r="Q186" s="5677"/>
      <c r="R186" s="5677"/>
      <c r="S186" s="5677"/>
      <c r="T186" s="5677"/>
      <c r="U186" s="5677"/>
      <c r="V186" s="5677"/>
    </row>
    <row r="187" spans="1:24" s="5678" customFormat="1" ht="54" customHeight="1">
      <c r="A187" s="5721"/>
      <c r="B187" s="5746"/>
      <c r="C187" s="5746"/>
      <c r="D187" s="5747" t="s">
        <v>11883</v>
      </c>
      <c r="E187" s="5746"/>
      <c r="F187" s="5748"/>
      <c r="G187" s="5749"/>
      <c r="H187" s="6005"/>
      <c r="I187" s="5750"/>
      <c r="J187" s="5752"/>
      <c r="K187" s="1486"/>
      <c r="L187" s="5677"/>
      <c r="M187" s="5677"/>
      <c r="N187" s="5677"/>
      <c r="O187" s="5677"/>
      <c r="P187" s="5677"/>
      <c r="Q187" s="5677"/>
      <c r="R187" s="5677"/>
      <c r="S187" s="5677"/>
      <c r="T187" s="5677"/>
      <c r="U187" s="5677"/>
      <c r="V187" s="5677"/>
    </row>
    <row r="188" spans="1:24" s="5678" customFormat="1" ht="13.5" customHeight="1">
      <c r="A188" s="5721"/>
      <c r="B188" s="5746"/>
      <c r="C188" s="5746"/>
      <c r="D188" s="5747" t="s">
        <v>11884</v>
      </c>
      <c r="E188" s="5746"/>
      <c r="F188" s="5748"/>
      <c r="G188" s="5749"/>
      <c r="H188" s="6005"/>
      <c r="I188" s="5750"/>
      <c r="J188" s="5752"/>
      <c r="K188" s="1486"/>
      <c r="L188" s="5677"/>
      <c r="M188" s="5677"/>
      <c r="N188" s="5677"/>
      <c r="O188" s="5677"/>
      <c r="P188" s="5677"/>
      <c r="Q188" s="5677"/>
      <c r="R188" s="5677"/>
      <c r="S188" s="5677"/>
      <c r="T188" s="5677"/>
      <c r="U188" s="5677"/>
      <c r="V188" s="5677"/>
    </row>
    <row r="189" spans="1:24" s="5665" customFormat="1" ht="13.5" customHeight="1">
      <c r="A189" s="5753"/>
      <c r="B189" s="5739"/>
      <c r="C189" s="5746"/>
      <c r="D189" s="5746" t="s">
        <v>11885</v>
      </c>
      <c r="E189" s="5746"/>
      <c r="F189" s="5754">
        <v>1</v>
      </c>
      <c r="G189" s="5749"/>
      <c r="H189" s="6005"/>
      <c r="I189" s="5755"/>
      <c r="J189" s="5736"/>
      <c r="K189" s="1618"/>
      <c r="L189" s="5679"/>
      <c r="M189" s="5679"/>
      <c r="N189" s="5679"/>
      <c r="O189" s="5679"/>
      <c r="P189" s="5679"/>
      <c r="Q189" s="5679"/>
      <c r="R189" s="5680"/>
      <c r="S189" s="5681"/>
    </row>
    <row r="190" spans="1:24" s="5665" customFormat="1" ht="13.5" customHeight="1">
      <c r="A190" s="5753"/>
      <c r="B190" s="5739"/>
      <c r="C190" s="5746"/>
      <c r="D190" s="5746" t="s">
        <v>11886</v>
      </c>
      <c r="E190" s="5746"/>
      <c r="F190" s="5754">
        <v>1</v>
      </c>
      <c r="G190" s="5749"/>
      <c r="H190" s="6005"/>
      <c r="I190" s="5755"/>
      <c r="J190" s="5736"/>
      <c r="K190" s="1618"/>
      <c r="L190" s="5679"/>
      <c r="M190" s="5679"/>
      <c r="N190" s="5679"/>
      <c r="O190" s="5679"/>
      <c r="P190" s="5679"/>
      <c r="Q190" s="5679"/>
      <c r="R190" s="5680"/>
      <c r="S190" s="5681"/>
    </row>
    <row r="191" spans="1:24" s="5665" customFormat="1" ht="27" customHeight="1">
      <c r="A191" s="5753"/>
      <c r="B191" s="5739"/>
      <c r="C191" s="5746"/>
      <c r="D191" s="5746" t="s">
        <v>11887</v>
      </c>
      <c r="E191" s="5746"/>
      <c r="F191" s="5754"/>
      <c r="G191" s="5749"/>
      <c r="H191" s="6005"/>
      <c r="I191" s="5755"/>
      <c r="J191" s="5736"/>
      <c r="K191" s="1618"/>
      <c r="L191" s="5679"/>
      <c r="M191" s="5679"/>
      <c r="N191" s="5679"/>
      <c r="O191" s="5679"/>
      <c r="P191" s="5679"/>
      <c r="Q191" s="5679"/>
      <c r="R191" s="5680"/>
      <c r="S191" s="5681"/>
    </row>
    <row r="192" spans="1:24" s="5665" customFormat="1" ht="27" customHeight="1">
      <c r="A192" s="5753"/>
      <c r="B192" s="5739"/>
      <c r="C192" s="5746"/>
      <c r="D192" s="5746" t="s">
        <v>11888</v>
      </c>
      <c r="E192" s="5746"/>
      <c r="F192" s="5754"/>
      <c r="G192" s="5749"/>
      <c r="H192" s="6005"/>
      <c r="I192" s="5755"/>
      <c r="J192" s="5736"/>
      <c r="K192" s="1618"/>
      <c r="L192" s="5679"/>
      <c r="M192" s="5679"/>
      <c r="N192" s="5679"/>
      <c r="O192" s="5679"/>
      <c r="P192" s="5679"/>
      <c r="Q192" s="5679"/>
      <c r="R192" s="5680"/>
      <c r="S192" s="5681"/>
    </row>
    <row r="193" spans="1:22" s="90" customFormat="1" ht="27" customHeight="1">
      <c r="A193" s="5738">
        <v>37</v>
      </c>
      <c r="B193" s="5739" t="s">
        <v>4103</v>
      </c>
      <c r="C193" s="5714" t="s">
        <v>11879</v>
      </c>
      <c r="D193" s="5740" t="s">
        <v>11889</v>
      </c>
      <c r="E193" s="5741" t="s">
        <v>23</v>
      </c>
      <c r="F193" s="5742">
        <f>SUM(F197:F198)</f>
        <v>2</v>
      </c>
      <c r="G193" s="5743"/>
      <c r="H193" s="6004">
        <f>F193*G193</f>
        <v>0</v>
      </c>
      <c r="I193" s="5744" t="s">
        <v>60</v>
      </c>
      <c r="J193" s="5745"/>
      <c r="K193" s="1325"/>
    </row>
    <row r="194" spans="1:22" s="5678" customFormat="1" ht="40.5" customHeight="1">
      <c r="A194" s="5721"/>
      <c r="B194" s="5746"/>
      <c r="C194" s="5746"/>
      <c r="D194" s="5747" t="s">
        <v>12197</v>
      </c>
      <c r="E194" s="5746"/>
      <c r="F194" s="5748"/>
      <c r="G194" s="5749"/>
      <c r="H194" s="6005"/>
      <c r="I194" s="5750"/>
      <c r="J194" s="5751"/>
      <c r="K194" s="1486"/>
      <c r="L194" s="5677"/>
      <c r="M194" s="5677"/>
      <c r="N194" s="5677"/>
      <c r="O194" s="5677"/>
      <c r="P194" s="5677"/>
      <c r="Q194" s="5677"/>
      <c r="R194" s="5677"/>
      <c r="S194" s="5677"/>
      <c r="T194" s="5677"/>
      <c r="U194" s="5677"/>
      <c r="V194" s="5677"/>
    </row>
    <row r="195" spans="1:22" s="5678" customFormat="1" ht="54" customHeight="1">
      <c r="A195" s="5721"/>
      <c r="B195" s="5746"/>
      <c r="C195" s="5746"/>
      <c r="D195" s="5747" t="s">
        <v>11883</v>
      </c>
      <c r="E195" s="5746"/>
      <c r="F195" s="5748"/>
      <c r="G195" s="5749"/>
      <c r="H195" s="6005"/>
      <c r="I195" s="5750"/>
      <c r="J195" s="5752"/>
      <c r="K195" s="1486"/>
      <c r="L195" s="5677"/>
      <c r="M195" s="5677"/>
      <c r="N195" s="5677"/>
      <c r="O195" s="5677"/>
      <c r="P195" s="5677"/>
      <c r="Q195" s="5677"/>
      <c r="R195" s="5677"/>
      <c r="S195" s="5677"/>
      <c r="T195" s="5677"/>
      <c r="U195" s="5677"/>
      <c r="V195" s="5677"/>
    </row>
    <row r="196" spans="1:22" s="5678" customFormat="1" ht="13.5" customHeight="1">
      <c r="A196" s="5721"/>
      <c r="B196" s="5746"/>
      <c r="C196" s="5746"/>
      <c r="D196" s="5747" t="s">
        <v>11884</v>
      </c>
      <c r="E196" s="5746"/>
      <c r="F196" s="5748"/>
      <c r="G196" s="5749"/>
      <c r="H196" s="6005"/>
      <c r="I196" s="5750"/>
      <c r="J196" s="5752"/>
      <c r="K196" s="1486"/>
      <c r="L196" s="5677"/>
      <c r="M196" s="5677"/>
      <c r="N196" s="5677"/>
      <c r="O196" s="5677"/>
      <c r="P196" s="5677"/>
      <c r="Q196" s="5677"/>
      <c r="R196" s="5677"/>
      <c r="S196" s="5677"/>
      <c r="T196" s="5677"/>
      <c r="U196" s="5677"/>
      <c r="V196" s="5677"/>
    </row>
    <row r="197" spans="1:22" s="5665" customFormat="1" ht="13.5" customHeight="1">
      <c r="A197" s="5753"/>
      <c r="B197" s="5739"/>
      <c r="C197" s="5746"/>
      <c r="D197" s="5746" t="s">
        <v>11885</v>
      </c>
      <c r="E197" s="5746"/>
      <c r="F197" s="5754">
        <v>1</v>
      </c>
      <c r="G197" s="5749"/>
      <c r="H197" s="6005"/>
      <c r="I197" s="5755"/>
      <c r="J197" s="5736"/>
      <c r="K197" s="1618"/>
      <c r="L197" s="5679"/>
      <c r="M197" s="5679"/>
      <c r="N197" s="5679"/>
      <c r="O197" s="5679"/>
      <c r="P197" s="5679"/>
      <c r="Q197" s="5679"/>
      <c r="R197" s="5680"/>
      <c r="S197" s="5681"/>
    </row>
    <row r="198" spans="1:22" s="5665" customFormat="1" ht="13.5" customHeight="1">
      <c r="A198" s="5753"/>
      <c r="B198" s="5739"/>
      <c r="C198" s="5746"/>
      <c r="D198" s="5746" t="s">
        <v>11886</v>
      </c>
      <c r="E198" s="5746"/>
      <c r="F198" s="5754">
        <v>1</v>
      </c>
      <c r="G198" s="5749"/>
      <c r="H198" s="6005"/>
      <c r="I198" s="5755"/>
      <c r="J198" s="5736"/>
      <c r="K198" s="1618"/>
      <c r="L198" s="5679"/>
      <c r="M198" s="5679"/>
      <c r="N198" s="5679"/>
      <c r="O198" s="5679"/>
      <c r="P198" s="5679"/>
      <c r="Q198" s="5679"/>
      <c r="R198" s="5680"/>
      <c r="S198" s="5681"/>
    </row>
    <row r="199" spans="1:22" s="5665" customFormat="1" ht="27" customHeight="1">
      <c r="A199" s="5753"/>
      <c r="B199" s="5739"/>
      <c r="C199" s="5746"/>
      <c r="D199" s="5746" t="s">
        <v>11887</v>
      </c>
      <c r="E199" s="5746"/>
      <c r="F199" s="5754"/>
      <c r="G199" s="5749"/>
      <c r="H199" s="6005"/>
      <c r="I199" s="5755"/>
      <c r="J199" s="5736"/>
      <c r="K199" s="1618"/>
      <c r="L199" s="5679"/>
      <c r="M199" s="5679"/>
      <c r="N199" s="5679"/>
      <c r="O199" s="5679"/>
      <c r="P199" s="5679"/>
      <c r="Q199" s="5679"/>
      <c r="R199" s="5680"/>
      <c r="S199" s="5681"/>
    </row>
    <row r="200" spans="1:22" s="5665" customFormat="1" ht="27" customHeight="1">
      <c r="A200" s="5753"/>
      <c r="B200" s="5739"/>
      <c r="C200" s="5746"/>
      <c r="D200" s="5746" t="s">
        <v>11888</v>
      </c>
      <c r="E200" s="5746"/>
      <c r="F200" s="5754"/>
      <c r="G200" s="5749"/>
      <c r="H200" s="6005"/>
      <c r="I200" s="5755"/>
      <c r="J200" s="5736"/>
      <c r="K200" s="1618"/>
      <c r="L200" s="5679"/>
      <c r="M200" s="5679"/>
      <c r="N200" s="5679"/>
      <c r="O200" s="5679"/>
      <c r="P200" s="5679"/>
      <c r="Q200" s="5679"/>
      <c r="R200" s="5680"/>
      <c r="S200" s="5681"/>
    </row>
    <row r="201" spans="1:22" s="333" customFormat="1" ht="27" customHeight="1">
      <c r="A201" s="5712">
        <v>38</v>
      </c>
      <c r="B201" s="5713" t="s">
        <v>4103</v>
      </c>
      <c r="C201" s="5714" t="s">
        <v>11890</v>
      </c>
      <c r="D201" s="5715" t="s">
        <v>11891</v>
      </c>
      <c r="E201" s="5716" t="s">
        <v>155</v>
      </c>
      <c r="F201" s="5717">
        <f>SUM(F203)</f>
        <v>1</v>
      </c>
      <c r="G201" s="5718"/>
      <c r="H201" s="6002">
        <f>F201*G201</f>
        <v>0</v>
      </c>
      <c r="I201" s="5719" t="s">
        <v>60</v>
      </c>
      <c r="J201" s="5756"/>
      <c r="K201" s="1325"/>
    </row>
    <row r="202" spans="1:22" ht="27" customHeight="1">
      <c r="A202" s="5721"/>
      <c r="B202" s="5714"/>
      <c r="C202" s="5714"/>
      <c r="D202" s="5714" t="s">
        <v>11892</v>
      </c>
      <c r="E202" s="5714"/>
      <c r="F202" s="5723"/>
      <c r="G202" s="5724"/>
      <c r="H202" s="6003"/>
      <c r="I202" s="5724"/>
      <c r="J202" s="5756"/>
    </row>
    <row r="203" spans="1:22" s="660" customFormat="1" ht="13.5" customHeight="1">
      <c r="A203" s="5726"/>
      <c r="B203" s="5713"/>
      <c r="C203" s="5714"/>
      <c r="D203" s="5714" t="s">
        <v>11804</v>
      </c>
      <c r="E203" s="5714"/>
      <c r="F203" s="5619">
        <v>1</v>
      </c>
      <c r="G203" s="5724"/>
      <c r="H203" s="6003"/>
      <c r="I203" s="5724"/>
      <c r="J203" s="5736"/>
      <c r="K203" s="1618"/>
      <c r="L203" s="808"/>
      <c r="M203" s="808"/>
      <c r="N203" s="808"/>
      <c r="O203" s="808"/>
      <c r="P203" s="808"/>
      <c r="Q203" s="808"/>
      <c r="R203" s="772"/>
      <c r="S203" s="718"/>
    </row>
    <row r="204" spans="1:22" s="660" customFormat="1" ht="13.5" customHeight="1">
      <c r="A204" s="5726"/>
      <c r="B204" s="5713"/>
      <c r="C204" s="5714"/>
      <c r="D204" s="5714" t="s">
        <v>11787</v>
      </c>
      <c r="E204" s="5714"/>
      <c r="F204" s="5619"/>
      <c r="G204" s="5724"/>
      <c r="H204" s="6003"/>
      <c r="I204" s="5757"/>
      <c r="J204" s="5736"/>
      <c r="K204" s="1618"/>
      <c r="L204" s="808"/>
      <c r="M204" s="808"/>
      <c r="N204" s="808"/>
      <c r="O204" s="808"/>
      <c r="P204" s="808"/>
      <c r="Q204" s="808"/>
      <c r="R204" s="772"/>
      <c r="S204" s="718"/>
    </row>
    <row r="205" spans="1:22" s="333" customFormat="1" ht="27" customHeight="1">
      <c r="A205" s="5712">
        <v>39</v>
      </c>
      <c r="B205" s="5713" t="s">
        <v>4103</v>
      </c>
      <c r="C205" s="5714" t="s">
        <v>11893</v>
      </c>
      <c r="D205" s="5715" t="s">
        <v>11894</v>
      </c>
      <c r="E205" s="5716" t="s">
        <v>155</v>
      </c>
      <c r="F205" s="5717">
        <f>SUM(F207)</f>
        <v>1</v>
      </c>
      <c r="G205" s="5718"/>
      <c r="H205" s="6002">
        <f>F205*G205</f>
        <v>0</v>
      </c>
      <c r="I205" s="5719" t="s">
        <v>60</v>
      </c>
      <c r="J205" s="5756"/>
      <c r="K205" s="1325"/>
    </row>
    <row r="206" spans="1:22" ht="27" customHeight="1">
      <c r="A206" s="5721"/>
      <c r="B206" s="5714"/>
      <c r="C206" s="5714"/>
      <c r="D206" s="5714" t="s">
        <v>11892</v>
      </c>
      <c r="E206" s="5714"/>
      <c r="F206" s="5723"/>
      <c r="G206" s="5724"/>
      <c r="H206" s="6003"/>
      <c r="I206" s="5724"/>
      <c r="J206" s="5756"/>
    </row>
    <row r="207" spans="1:22" s="660" customFormat="1" ht="13.5" customHeight="1">
      <c r="A207" s="5726"/>
      <c r="B207" s="5713"/>
      <c r="C207" s="5714"/>
      <c r="D207" s="5714" t="s">
        <v>11804</v>
      </c>
      <c r="E207" s="5714"/>
      <c r="F207" s="5619">
        <v>1</v>
      </c>
      <c r="G207" s="5724"/>
      <c r="H207" s="6003"/>
      <c r="I207" s="5724"/>
      <c r="J207" s="5736"/>
      <c r="K207" s="1618"/>
      <c r="L207" s="808"/>
      <c r="M207" s="808"/>
      <c r="N207" s="808"/>
      <c r="O207" s="808"/>
      <c r="P207" s="808"/>
      <c r="Q207" s="808"/>
      <c r="R207" s="772"/>
      <c r="S207" s="718"/>
    </row>
    <row r="208" spans="1:22" s="660" customFormat="1" ht="13.5" customHeight="1">
      <c r="A208" s="5726"/>
      <c r="B208" s="5713"/>
      <c r="C208" s="5714"/>
      <c r="D208" s="5714" t="s">
        <v>11787</v>
      </c>
      <c r="E208" s="5714"/>
      <c r="F208" s="5619"/>
      <c r="G208" s="5724"/>
      <c r="H208" s="6003"/>
      <c r="I208" s="5757"/>
      <c r="J208" s="5736"/>
      <c r="K208" s="1618"/>
      <c r="L208" s="808"/>
      <c r="M208" s="808"/>
      <c r="N208" s="808"/>
      <c r="O208" s="808"/>
      <c r="P208" s="808"/>
      <c r="Q208" s="808"/>
      <c r="R208" s="772"/>
      <c r="S208" s="718"/>
    </row>
    <row r="209" spans="1:19" s="333" customFormat="1" ht="27" customHeight="1">
      <c r="A209" s="5712">
        <v>40</v>
      </c>
      <c r="B209" s="5713" t="s">
        <v>4103</v>
      </c>
      <c r="C209" s="5714" t="s">
        <v>11895</v>
      </c>
      <c r="D209" s="5715" t="s">
        <v>11896</v>
      </c>
      <c r="E209" s="5716" t="s">
        <v>155</v>
      </c>
      <c r="F209" s="5717">
        <f>SUM(F211)</f>
        <v>1</v>
      </c>
      <c r="G209" s="5718"/>
      <c r="H209" s="6002">
        <f>F209*G209</f>
        <v>0</v>
      </c>
      <c r="I209" s="5719" t="s">
        <v>60</v>
      </c>
      <c r="J209" s="5756"/>
      <c r="K209" s="1325"/>
    </row>
    <row r="210" spans="1:19" ht="27" customHeight="1">
      <c r="A210" s="5721"/>
      <c r="B210" s="5714"/>
      <c r="C210" s="5714"/>
      <c r="D210" s="5714" t="s">
        <v>11892</v>
      </c>
      <c r="E210" s="5714"/>
      <c r="F210" s="5723"/>
      <c r="G210" s="5724"/>
      <c r="H210" s="6003"/>
      <c r="I210" s="5724"/>
      <c r="J210" s="5756"/>
    </row>
    <row r="211" spans="1:19" s="660" customFormat="1" ht="13.5" customHeight="1">
      <c r="A211" s="5726"/>
      <c r="B211" s="5713"/>
      <c r="C211" s="5714"/>
      <c r="D211" s="5714" t="s">
        <v>11804</v>
      </c>
      <c r="E211" s="5714"/>
      <c r="F211" s="5619">
        <v>1</v>
      </c>
      <c r="G211" s="5724"/>
      <c r="H211" s="6003"/>
      <c r="I211" s="5724"/>
      <c r="J211" s="5736"/>
      <c r="K211" s="1618"/>
      <c r="L211" s="808"/>
      <c r="M211" s="808"/>
      <c r="N211" s="808"/>
      <c r="O211" s="808"/>
      <c r="P211" s="808"/>
      <c r="Q211" s="808"/>
      <c r="R211" s="772"/>
      <c r="S211" s="718"/>
    </row>
    <row r="212" spans="1:19" s="660" customFormat="1" ht="13.5" customHeight="1">
      <c r="A212" s="5726"/>
      <c r="B212" s="5713"/>
      <c r="C212" s="5714"/>
      <c r="D212" s="5714" t="s">
        <v>11787</v>
      </c>
      <c r="E212" s="5714"/>
      <c r="F212" s="5619"/>
      <c r="G212" s="5724"/>
      <c r="H212" s="6003"/>
      <c r="I212" s="5757"/>
      <c r="J212" s="5736"/>
      <c r="K212" s="1618"/>
      <c r="L212" s="808"/>
      <c r="M212" s="808"/>
      <c r="N212" s="808"/>
      <c r="O212" s="808"/>
      <c r="P212" s="808"/>
      <c r="Q212" s="808"/>
      <c r="R212" s="772"/>
      <c r="S212" s="718"/>
    </row>
    <row r="213" spans="1:19" s="333" customFormat="1" ht="27" customHeight="1">
      <c r="A213" s="5712">
        <v>41</v>
      </c>
      <c r="B213" s="5713" t="s">
        <v>4103</v>
      </c>
      <c r="C213" s="5714" t="s">
        <v>11897</v>
      </c>
      <c r="D213" s="5715" t="s">
        <v>11898</v>
      </c>
      <c r="E213" s="5716" t="s">
        <v>155</v>
      </c>
      <c r="F213" s="5717">
        <f>SUM(F215)</f>
        <v>1</v>
      </c>
      <c r="G213" s="5718"/>
      <c r="H213" s="6002">
        <f>F213*G213</f>
        <v>0</v>
      </c>
      <c r="I213" s="5719" t="s">
        <v>60</v>
      </c>
      <c r="J213" s="5756"/>
      <c r="K213" s="1325"/>
    </row>
    <row r="214" spans="1:19" ht="27" customHeight="1">
      <c r="A214" s="5721"/>
      <c r="B214" s="5714"/>
      <c r="C214" s="5714"/>
      <c r="D214" s="5714" t="s">
        <v>11892</v>
      </c>
      <c r="E214" s="5714"/>
      <c r="F214" s="5723"/>
      <c r="G214" s="5724"/>
      <c r="H214" s="6003"/>
      <c r="I214" s="5724"/>
      <c r="J214" s="5756"/>
    </row>
    <row r="215" spans="1:19" s="660" customFormat="1" ht="13.5" customHeight="1">
      <c r="A215" s="5726"/>
      <c r="B215" s="5713"/>
      <c r="C215" s="5714"/>
      <c r="D215" s="5714" t="s">
        <v>11804</v>
      </c>
      <c r="E215" s="5714"/>
      <c r="F215" s="5619">
        <v>1</v>
      </c>
      <c r="G215" s="5724"/>
      <c r="H215" s="6003"/>
      <c r="I215" s="5724"/>
      <c r="J215" s="5736"/>
      <c r="K215" s="1618"/>
      <c r="L215" s="808"/>
      <c r="M215" s="808"/>
      <c r="N215" s="808"/>
      <c r="O215" s="808"/>
      <c r="P215" s="808"/>
      <c r="Q215" s="808"/>
      <c r="R215" s="772"/>
      <c r="S215" s="718"/>
    </row>
    <row r="216" spans="1:19" s="660" customFormat="1" ht="13.5" customHeight="1">
      <c r="A216" s="5726"/>
      <c r="B216" s="5713"/>
      <c r="C216" s="5714"/>
      <c r="D216" s="5714" t="s">
        <v>11787</v>
      </c>
      <c r="E216" s="5714"/>
      <c r="F216" s="5619"/>
      <c r="G216" s="5724"/>
      <c r="H216" s="6003"/>
      <c r="I216" s="5757"/>
      <c r="J216" s="5736"/>
      <c r="K216" s="1618"/>
      <c r="L216" s="808"/>
      <c r="M216" s="808"/>
      <c r="N216" s="808"/>
      <c r="O216" s="808"/>
      <c r="P216" s="808"/>
      <c r="Q216" s="808"/>
      <c r="R216" s="772"/>
      <c r="S216" s="718"/>
    </row>
    <row r="217" spans="1:19" s="333" customFormat="1" ht="27" customHeight="1">
      <c r="A217" s="5712">
        <v>42</v>
      </c>
      <c r="B217" s="5713" t="s">
        <v>4103</v>
      </c>
      <c r="C217" s="5714" t="s">
        <v>11899</v>
      </c>
      <c r="D217" s="5715" t="s">
        <v>11900</v>
      </c>
      <c r="E217" s="5716" t="s">
        <v>155</v>
      </c>
      <c r="F217" s="5717">
        <f>SUM(F219)</f>
        <v>1</v>
      </c>
      <c r="G217" s="5718"/>
      <c r="H217" s="6002">
        <f>F217*G217</f>
        <v>0</v>
      </c>
      <c r="I217" s="5719" t="s">
        <v>60</v>
      </c>
      <c r="J217" s="5756"/>
      <c r="K217" s="1325"/>
    </row>
    <row r="218" spans="1:19" ht="27" customHeight="1">
      <c r="A218" s="5721"/>
      <c r="B218" s="5714"/>
      <c r="C218" s="5714"/>
      <c r="D218" s="5714" t="s">
        <v>11901</v>
      </c>
      <c r="E218" s="5714"/>
      <c r="F218" s="5723"/>
      <c r="G218" s="5724"/>
      <c r="H218" s="6003"/>
      <c r="I218" s="5724"/>
      <c r="J218" s="5756"/>
    </row>
    <row r="219" spans="1:19" s="660" customFormat="1" ht="13.5" customHeight="1">
      <c r="A219" s="5726"/>
      <c r="B219" s="5713"/>
      <c r="C219" s="5714"/>
      <c r="D219" s="5714" t="s">
        <v>11804</v>
      </c>
      <c r="E219" s="5714"/>
      <c r="F219" s="5619">
        <v>1</v>
      </c>
      <c r="G219" s="5724"/>
      <c r="H219" s="6003"/>
      <c r="I219" s="5724"/>
      <c r="J219" s="5736"/>
      <c r="K219" s="1618"/>
      <c r="L219" s="808"/>
      <c r="M219" s="808"/>
      <c r="N219" s="808"/>
      <c r="O219" s="808"/>
      <c r="P219" s="808"/>
      <c r="Q219" s="808"/>
      <c r="R219" s="772"/>
      <c r="S219" s="718"/>
    </row>
    <row r="220" spans="1:19" s="660" customFormat="1" ht="13.5" customHeight="1">
      <c r="A220" s="5726"/>
      <c r="B220" s="5713"/>
      <c r="C220" s="5714"/>
      <c r="D220" s="5714" t="s">
        <v>11787</v>
      </c>
      <c r="E220" s="5714"/>
      <c r="F220" s="5619"/>
      <c r="G220" s="5724"/>
      <c r="H220" s="6003"/>
      <c r="I220" s="5757"/>
      <c r="J220" s="5736"/>
      <c r="K220" s="1618"/>
      <c r="L220" s="808"/>
      <c r="M220" s="808"/>
      <c r="N220" s="808"/>
      <c r="O220" s="808"/>
      <c r="P220" s="808"/>
      <c r="Q220" s="808"/>
      <c r="R220" s="772"/>
      <c r="S220" s="718"/>
    </row>
    <row r="221" spans="1:19" s="333" customFormat="1" ht="27" customHeight="1">
      <c r="A221" s="5712">
        <v>43</v>
      </c>
      <c r="B221" s="5713" t="s">
        <v>4103</v>
      </c>
      <c r="C221" s="5714" t="s">
        <v>11902</v>
      </c>
      <c r="D221" s="5715" t="s">
        <v>11903</v>
      </c>
      <c r="E221" s="5716" t="s">
        <v>155</v>
      </c>
      <c r="F221" s="5717">
        <f>SUM(F223)</f>
        <v>1</v>
      </c>
      <c r="G221" s="5718"/>
      <c r="H221" s="6002">
        <f>F221*G221</f>
        <v>0</v>
      </c>
      <c r="I221" s="5719" t="s">
        <v>60</v>
      </c>
      <c r="J221" s="5756"/>
      <c r="K221" s="1325"/>
    </row>
    <row r="222" spans="1:19" ht="27" customHeight="1">
      <c r="A222" s="5721"/>
      <c r="B222" s="5714"/>
      <c r="C222" s="5714"/>
      <c r="D222" s="5714" t="s">
        <v>11892</v>
      </c>
      <c r="E222" s="5714"/>
      <c r="F222" s="5723"/>
      <c r="G222" s="5724"/>
      <c r="H222" s="6003"/>
      <c r="I222" s="5724"/>
      <c r="J222" s="5756"/>
    </row>
    <row r="223" spans="1:19" s="660" customFormat="1" ht="13.5" customHeight="1">
      <c r="A223" s="5726"/>
      <c r="B223" s="5713"/>
      <c r="C223" s="5714"/>
      <c r="D223" s="5714" t="s">
        <v>11804</v>
      </c>
      <c r="E223" s="5714"/>
      <c r="F223" s="5619">
        <v>1</v>
      </c>
      <c r="G223" s="5724"/>
      <c r="H223" s="6003"/>
      <c r="I223" s="5724"/>
      <c r="J223" s="5736"/>
      <c r="K223" s="1618"/>
      <c r="L223" s="808"/>
      <c r="M223" s="808"/>
      <c r="N223" s="808"/>
      <c r="O223" s="808"/>
      <c r="P223" s="808"/>
      <c r="Q223" s="808"/>
      <c r="R223" s="772"/>
      <c r="S223" s="718"/>
    </row>
    <row r="224" spans="1:19" s="660" customFormat="1" ht="13.5" customHeight="1">
      <c r="A224" s="5726"/>
      <c r="B224" s="5713"/>
      <c r="C224" s="5714"/>
      <c r="D224" s="5714" t="s">
        <v>11787</v>
      </c>
      <c r="E224" s="5714"/>
      <c r="F224" s="5619"/>
      <c r="G224" s="5724"/>
      <c r="H224" s="6003"/>
      <c r="I224" s="5757"/>
      <c r="J224" s="5736"/>
      <c r="K224" s="1618"/>
      <c r="L224" s="808"/>
      <c r="M224" s="808"/>
      <c r="N224" s="808"/>
      <c r="O224" s="808"/>
      <c r="P224" s="808"/>
      <c r="Q224" s="808"/>
      <c r="R224" s="772"/>
      <c r="S224" s="718"/>
    </row>
    <row r="225" spans="1:19" s="333" customFormat="1" ht="27" customHeight="1">
      <c r="A225" s="5712">
        <v>44</v>
      </c>
      <c r="B225" s="5713" t="s">
        <v>4103</v>
      </c>
      <c r="C225" s="5714" t="s">
        <v>11904</v>
      </c>
      <c r="D225" s="5715" t="s">
        <v>11905</v>
      </c>
      <c r="E225" s="5716" t="s">
        <v>155</v>
      </c>
      <c r="F225" s="5717">
        <f>SUM(F227)</f>
        <v>1</v>
      </c>
      <c r="G225" s="5718"/>
      <c r="H225" s="6002">
        <f>F225*G225</f>
        <v>0</v>
      </c>
      <c r="I225" s="5719" t="s">
        <v>60</v>
      </c>
      <c r="J225" s="5756"/>
      <c r="K225" s="1325"/>
    </row>
    <row r="226" spans="1:19" ht="27" customHeight="1">
      <c r="A226" s="5721"/>
      <c r="B226" s="5714"/>
      <c r="C226" s="5714"/>
      <c r="D226" s="5714" t="s">
        <v>11892</v>
      </c>
      <c r="E226" s="5714"/>
      <c r="F226" s="5723"/>
      <c r="G226" s="5724"/>
      <c r="H226" s="6003"/>
      <c r="I226" s="5724"/>
      <c r="J226" s="5756"/>
    </row>
    <row r="227" spans="1:19" s="660" customFormat="1" ht="13.5" customHeight="1">
      <c r="A227" s="5726"/>
      <c r="B227" s="5713"/>
      <c r="C227" s="5714"/>
      <c r="D227" s="5714" t="s">
        <v>11804</v>
      </c>
      <c r="E227" s="5714"/>
      <c r="F227" s="5619">
        <v>1</v>
      </c>
      <c r="G227" s="5724"/>
      <c r="H227" s="6003"/>
      <c r="I227" s="5724"/>
      <c r="J227" s="5736"/>
      <c r="K227" s="1618"/>
      <c r="L227" s="808"/>
      <c r="M227" s="808"/>
      <c r="N227" s="808"/>
      <c r="O227" s="808"/>
      <c r="P227" s="808"/>
      <c r="Q227" s="808"/>
      <c r="R227" s="772"/>
      <c r="S227" s="718"/>
    </row>
    <row r="228" spans="1:19" s="660" customFormat="1" ht="13.5" customHeight="1">
      <c r="A228" s="5726"/>
      <c r="B228" s="5713"/>
      <c r="C228" s="5714"/>
      <c r="D228" s="5714" t="s">
        <v>11787</v>
      </c>
      <c r="E228" s="5714"/>
      <c r="F228" s="5619"/>
      <c r="G228" s="5724"/>
      <c r="H228" s="6003"/>
      <c r="I228" s="5757"/>
      <c r="J228" s="5736"/>
      <c r="K228" s="1618"/>
      <c r="L228" s="808"/>
      <c r="M228" s="808"/>
      <c r="N228" s="808"/>
      <c r="O228" s="808"/>
      <c r="P228" s="808"/>
      <c r="Q228" s="808"/>
      <c r="R228" s="772"/>
      <c r="S228" s="718"/>
    </row>
    <row r="229" spans="1:19" s="333" customFormat="1" ht="27" customHeight="1">
      <c r="A229" s="5712">
        <v>45</v>
      </c>
      <c r="B229" s="5713" t="s">
        <v>4103</v>
      </c>
      <c r="C229" s="5714" t="s">
        <v>11906</v>
      </c>
      <c r="D229" s="5715" t="s">
        <v>11907</v>
      </c>
      <c r="E229" s="5716" t="s">
        <v>155</v>
      </c>
      <c r="F229" s="5717">
        <f>SUM(F231)</f>
        <v>1</v>
      </c>
      <c r="G229" s="5718"/>
      <c r="H229" s="6002">
        <f>F229*G229</f>
        <v>0</v>
      </c>
      <c r="I229" s="5719" t="s">
        <v>60</v>
      </c>
      <c r="J229" s="5756"/>
      <c r="K229" s="1325"/>
    </row>
    <row r="230" spans="1:19" ht="27" customHeight="1">
      <c r="A230" s="5721"/>
      <c r="B230" s="5714"/>
      <c r="C230" s="5714"/>
      <c r="D230" s="5714" t="s">
        <v>11908</v>
      </c>
      <c r="E230" s="5714"/>
      <c r="F230" s="5723"/>
      <c r="G230" s="5724"/>
      <c r="H230" s="6003"/>
      <c r="I230" s="5724"/>
      <c r="J230" s="5756"/>
    </row>
    <row r="231" spans="1:19" s="660" customFormat="1" ht="13.5" customHeight="1">
      <c r="A231" s="5726"/>
      <c r="B231" s="5713"/>
      <c r="C231" s="5714"/>
      <c r="D231" s="5714" t="s">
        <v>11804</v>
      </c>
      <c r="E231" s="5714"/>
      <c r="F231" s="5619">
        <v>1</v>
      </c>
      <c r="G231" s="5724"/>
      <c r="H231" s="6003"/>
      <c r="I231" s="5724"/>
      <c r="J231" s="5736"/>
      <c r="K231" s="1618"/>
      <c r="L231" s="808"/>
      <c r="M231" s="808"/>
      <c r="N231" s="808"/>
      <c r="O231" s="808"/>
      <c r="P231" s="808"/>
      <c r="Q231" s="808"/>
      <c r="R231" s="772"/>
      <c r="S231" s="718"/>
    </row>
    <row r="232" spans="1:19" s="660" customFormat="1" ht="13.5" customHeight="1">
      <c r="A232" s="5726"/>
      <c r="B232" s="5713"/>
      <c r="C232" s="5714"/>
      <c r="D232" s="5714" t="s">
        <v>11787</v>
      </c>
      <c r="E232" s="5714"/>
      <c r="F232" s="5619"/>
      <c r="G232" s="5724"/>
      <c r="H232" s="6003"/>
      <c r="I232" s="5757"/>
      <c r="J232" s="5736"/>
      <c r="K232" s="1618"/>
      <c r="L232" s="808"/>
      <c r="M232" s="808"/>
      <c r="N232" s="808"/>
      <c r="O232" s="808"/>
      <c r="P232" s="808"/>
      <c r="Q232" s="808"/>
      <c r="R232" s="772"/>
      <c r="S232" s="718"/>
    </row>
    <row r="233" spans="1:19" s="333" customFormat="1" ht="27" customHeight="1">
      <c r="A233" s="5712">
        <v>46</v>
      </c>
      <c r="B233" s="5713" t="s">
        <v>4103</v>
      </c>
      <c r="C233" s="5714" t="s">
        <v>11909</v>
      </c>
      <c r="D233" s="5715" t="s">
        <v>11910</v>
      </c>
      <c r="E233" s="5716" t="s">
        <v>155</v>
      </c>
      <c r="F233" s="5717">
        <f>SUM(F235)</f>
        <v>1</v>
      </c>
      <c r="G233" s="5718"/>
      <c r="H233" s="6002">
        <f>F233*G233</f>
        <v>0</v>
      </c>
      <c r="I233" s="5719" t="s">
        <v>60</v>
      </c>
      <c r="J233" s="5756"/>
      <c r="K233" s="1325"/>
    </row>
    <row r="234" spans="1:19" ht="27" customHeight="1">
      <c r="A234" s="5721"/>
      <c r="B234" s="5714"/>
      <c r="C234" s="5714"/>
      <c r="D234" s="5714" t="s">
        <v>11908</v>
      </c>
      <c r="E234" s="5714"/>
      <c r="F234" s="5723"/>
      <c r="G234" s="5724"/>
      <c r="H234" s="6003"/>
      <c r="I234" s="5724"/>
      <c r="J234" s="5756"/>
    </row>
    <row r="235" spans="1:19" s="660" customFormat="1" ht="13.5" customHeight="1">
      <c r="A235" s="5726"/>
      <c r="B235" s="5713"/>
      <c r="C235" s="5714"/>
      <c r="D235" s="5714" t="s">
        <v>11804</v>
      </c>
      <c r="E235" s="5714"/>
      <c r="F235" s="5619">
        <v>1</v>
      </c>
      <c r="G235" s="5724"/>
      <c r="H235" s="6003"/>
      <c r="I235" s="5724"/>
      <c r="J235" s="5736"/>
      <c r="K235" s="1618"/>
      <c r="L235" s="808"/>
      <c r="M235" s="808"/>
      <c r="N235" s="808"/>
      <c r="O235" s="808"/>
      <c r="P235" s="808"/>
      <c r="Q235" s="808"/>
      <c r="R235" s="772"/>
      <c r="S235" s="718"/>
    </row>
    <row r="236" spans="1:19" s="660" customFormat="1" ht="13.5" customHeight="1">
      <c r="A236" s="5726"/>
      <c r="B236" s="5713"/>
      <c r="C236" s="5714"/>
      <c r="D236" s="5714" t="s">
        <v>11787</v>
      </c>
      <c r="E236" s="5714"/>
      <c r="F236" s="5619"/>
      <c r="G236" s="5724"/>
      <c r="H236" s="6003"/>
      <c r="I236" s="5757"/>
      <c r="J236" s="5736"/>
      <c r="K236" s="1618"/>
      <c r="L236" s="808"/>
      <c r="M236" s="808"/>
      <c r="N236" s="808"/>
      <c r="O236" s="808"/>
      <c r="P236" s="808"/>
      <c r="Q236" s="808"/>
      <c r="R236" s="772"/>
      <c r="S236" s="718"/>
    </row>
    <row r="237" spans="1:19" s="333" customFormat="1" ht="27" customHeight="1">
      <c r="A237" s="5712">
        <v>47</v>
      </c>
      <c r="B237" s="5713" t="s">
        <v>4103</v>
      </c>
      <c r="C237" s="5714" t="s">
        <v>11911</v>
      </c>
      <c r="D237" s="5715" t="s">
        <v>11912</v>
      </c>
      <c r="E237" s="5716" t="s">
        <v>155</v>
      </c>
      <c r="F237" s="5717">
        <f>SUM(F239)</f>
        <v>1</v>
      </c>
      <c r="G237" s="5718"/>
      <c r="H237" s="6002">
        <f>F237*G237</f>
        <v>0</v>
      </c>
      <c r="I237" s="5719" t="s">
        <v>60</v>
      </c>
      <c r="J237" s="5756"/>
      <c r="K237" s="1325"/>
    </row>
    <row r="238" spans="1:19" ht="27" customHeight="1">
      <c r="A238" s="5721"/>
      <c r="B238" s="5714"/>
      <c r="C238" s="5714"/>
      <c r="D238" s="5714" t="s">
        <v>11908</v>
      </c>
      <c r="E238" s="5714"/>
      <c r="F238" s="5723"/>
      <c r="G238" s="5724"/>
      <c r="H238" s="6003"/>
      <c r="I238" s="5724"/>
      <c r="J238" s="5756"/>
    </row>
    <row r="239" spans="1:19" s="660" customFormat="1" ht="13.5" customHeight="1">
      <c r="A239" s="5726"/>
      <c r="B239" s="5713"/>
      <c r="C239" s="5714"/>
      <c r="D239" s="5714" t="s">
        <v>11804</v>
      </c>
      <c r="E239" s="5714"/>
      <c r="F239" s="5619">
        <v>1</v>
      </c>
      <c r="G239" s="5724"/>
      <c r="H239" s="6003"/>
      <c r="I239" s="5724"/>
      <c r="J239" s="5736"/>
      <c r="K239" s="1618"/>
      <c r="L239" s="808"/>
      <c r="M239" s="808"/>
      <c r="N239" s="808"/>
      <c r="O239" s="808"/>
      <c r="P239" s="808"/>
      <c r="Q239" s="808"/>
      <c r="R239" s="772"/>
      <c r="S239" s="718"/>
    </row>
    <row r="240" spans="1:19" s="660" customFormat="1" ht="13.5" customHeight="1">
      <c r="A240" s="5726"/>
      <c r="B240" s="5713"/>
      <c r="C240" s="5714"/>
      <c r="D240" s="5714" t="s">
        <v>11787</v>
      </c>
      <c r="E240" s="5714"/>
      <c r="F240" s="5619"/>
      <c r="G240" s="5724"/>
      <c r="H240" s="6003"/>
      <c r="I240" s="5757"/>
      <c r="J240" s="5736"/>
      <c r="K240" s="1618"/>
      <c r="L240" s="808"/>
      <c r="M240" s="808"/>
      <c r="N240" s="808"/>
      <c r="O240" s="808"/>
      <c r="P240" s="808"/>
      <c r="Q240" s="808"/>
      <c r="R240" s="772"/>
      <c r="S240" s="718"/>
    </row>
    <row r="241" spans="1:19" s="333" customFormat="1" ht="27" customHeight="1">
      <c r="A241" s="5712">
        <v>48</v>
      </c>
      <c r="B241" s="5713" t="s">
        <v>4103</v>
      </c>
      <c r="C241" s="5714" t="s">
        <v>11913</v>
      </c>
      <c r="D241" s="5715" t="s">
        <v>11914</v>
      </c>
      <c r="E241" s="5716" t="s">
        <v>155</v>
      </c>
      <c r="F241" s="5717">
        <f>SUM(F243)</f>
        <v>1</v>
      </c>
      <c r="G241" s="5718"/>
      <c r="H241" s="6002">
        <f>F241*G241</f>
        <v>0</v>
      </c>
      <c r="I241" s="5719" t="s">
        <v>60</v>
      </c>
      <c r="J241" s="5756"/>
      <c r="K241" s="1325"/>
    </row>
    <row r="242" spans="1:19" ht="27" customHeight="1">
      <c r="A242" s="5721"/>
      <c r="B242" s="5714"/>
      <c r="C242" s="5714"/>
      <c r="D242" s="5714" t="s">
        <v>11892</v>
      </c>
      <c r="E242" s="5714"/>
      <c r="F242" s="5723"/>
      <c r="G242" s="5724"/>
      <c r="H242" s="6003"/>
      <c r="I242" s="5724"/>
      <c r="J242" s="5756"/>
    </row>
    <row r="243" spans="1:19" s="660" customFormat="1" ht="13.5" customHeight="1">
      <c r="A243" s="5726"/>
      <c r="B243" s="5713"/>
      <c r="C243" s="5714"/>
      <c r="D243" s="5714" t="s">
        <v>11804</v>
      </c>
      <c r="E243" s="5714"/>
      <c r="F243" s="5619">
        <v>1</v>
      </c>
      <c r="G243" s="5724"/>
      <c r="H243" s="6003"/>
      <c r="I243" s="5724"/>
      <c r="J243" s="5736"/>
      <c r="K243" s="1618"/>
      <c r="L243" s="808"/>
      <c r="M243" s="808"/>
      <c r="N243" s="808"/>
      <c r="O243" s="808"/>
      <c r="P243" s="808"/>
      <c r="Q243" s="808"/>
      <c r="R243" s="772"/>
      <c r="S243" s="718"/>
    </row>
    <row r="244" spans="1:19" s="660" customFormat="1" ht="13.5" customHeight="1">
      <c r="A244" s="5726"/>
      <c r="B244" s="5713"/>
      <c r="C244" s="5714"/>
      <c r="D244" s="5714" t="s">
        <v>11787</v>
      </c>
      <c r="E244" s="5714"/>
      <c r="F244" s="5619"/>
      <c r="G244" s="5724"/>
      <c r="H244" s="6003"/>
      <c r="I244" s="5757"/>
      <c r="J244" s="5736"/>
      <c r="K244" s="1618"/>
      <c r="L244" s="808"/>
      <c r="M244" s="808"/>
      <c r="N244" s="808"/>
      <c r="O244" s="808"/>
      <c r="P244" s="808"/>
      <c r="Q244" s="808"/>
      <c r="R244" s="772"/>
      <c r="S244" s="718"/>
    </row>
    <row r="245" spans="1:19" s="333" customFormat="1" ht="27" customHeight="1">
      <c r="A245" s="5712">
        <v>49</v>
      </c>
      <c r="B245" s="5713" t="s">
        <v>4103</v>
      </c>
      <c r="C245" s="5714" t="s">
        <v>11915</v>
      </c>
      <c r="D245" s="5715" t="s">
        <v>11916</v>
      </c>
      <c r="E245" s="5716" t="s">
        <v>155</v>
      </c>
      <c r="F245" s="5717">
        <f>SUM(F247)</f>
        <v>1</v>
      </c>
      <c r="G245" s="5718"/>
      <c r="H245" s="6002">
        <f>F245*G245</f>
        <v>0</v>
      </c>
      <c r="I245" s="5719" t="s">
        <v>60</v>
      </c>
      <c r="J245" s="5756"/>
      <c r="K245" s="1325"/>
    </row>
    <row r="246" spans="1:19" ht="27" customHeight="1">
      <c r="A246" s="5721"/>
      <c r="B246" s="5714"/>
      <c r="C246" s="5714"/>
      <c r="D246" s="5714" t="s">
        <v>11908</v>
      </c>
      <c r="E246" s="5714"/>
      <c r="F246" s="5723"/>
      <c r="G246" s="5724"/>
      <c r="H246" s="6003"/>
      <c r="I246" s="5724"/>
      <c r="J246" s="5756"/>
    </row>
    <row r="247" spans="1:19" s="660" customFormat="1" ht="13.5" customHeight="1">
      <c r="A247" s="5726"/>
      <c r="B247" s="5713"/>
      <c r="C247" s="5714"/>
      <c r="D247" s="5714" t="s">
        <v>11804</v>
      </c>
      <c r="E247" s="5714"/>
      <c r="F247" s="5619">
        <v>1</v>
      </c>
      <c r="G247" s="5724"/>
      <c r="H247" s="6003"/>
      <c r="I247" s="5724"/>
      <c r="J247" s="5736"/>
      <c r="K247" s="1618"/>
      <c r="L247" s="808"/>
      <c r="M247" s="808"/>
      <c r="N247" s="808"/>
      <c r="O247" s="808"/>
      <c r="P247" s="808"/>
      <c r="Q247" s="808"/>
      <c r="R247" s="772"/>
      <c r="S247" s="718"/>
    </row>
    <row r="248" spans="1:19" s="660" customFormat="1" ht="13.5" customHeight="1">
      <c r="A248" s="5726"/>
      <c r="B248" s="5713"/>
      <c r="C248" s="5714"/>
      <c r="D248" s="5714" t="s">
        <v>11787</v>
      </c>
      <c r="E248" s="5714"/>
      <c r="F248" s="5619"/>
      <c r="G248" s="5724"/>
      <c r="H248" s="6003"/>
      <c r="I248" s="5757"/>
      <c r="J248" s="5736"/>
      <c r="K248" s="1618"/>
      <c r="L248" s="808"/>
      <c r="M248" s="808"/>
      <c r="N248" s="808"/>
      <c r="O248" s="808"/>
      <c r="P248" s="808"/>
      <c r="Q248" s="808"/>
      <c r="R248" s="772"/>
      <c r="S248" s="718"/>
    </row>
    <row r="249" spans="1:19" s="333" customFormat="1" ht="27" customHeight="1">
      <c r="A249" s="5712">
        <v>50</v>
      </c>
      <c r="B249" s="5713" t="s">
        <v>4103</v>
      </c>
      <c r="C249" s="5714" t="s">
        <v>11917</v>
      </c>
      <c r="D249" s="5715" t="s">
        <v>11918</v>
      </c>
      <c r="E249" s="5716" t="s">
        <v>155</v>
      </c>
      <c r="F249" s="5717">
        <f>SUM(F251)</f>
        <v>1</v>
      </c>
      <c r="G249" s="5718"/>
      <c r="H249" s="6002">
        <f>F249*G249</f>
        <v>0</v>
      </c>
      <c r="I249" s="5719" t="s">
        <v>60</v>
      </c>
      <c r="J249" s="5756"/>
      <c r="K249" s="1325"/>
    </row>
    <row r="250" spans="1:19" ht="27" customHeight="1">
      <c r="A250" s="5721"/>
      <c r="B250" s="5714"/>
      <c r="C250" s="5714"/>
      <c r="D250" s="5714" t="s">
        <v>11908</v>
      </c>
      <c r="E250" s="5714"/>
      <c r="F250" s="5723"/>
      <c r="G250" s="5724"/>
      <c r="H250" s="6003"/>
      <c r="I250" s="5724"/>
      <c r="J250" s="5756"/>
    </row>
    <row r="251" spans="1:19" s="660" customFormat="1" ht="13.5" customHeight="1">
      <c r="A251" s="5726"/>
      <c r="B251" s="5713"/>
      <c r="C251" s="5714"/>
      <c r="D251" s="5714" t="s">
        <v>11804</v>
      </c>
      <c r="E251" s="5714"/>
      <c r="F251" s="5619">
        <v>1</v>
      </c>
      <c r="G251" s="5724"/>
      <c r="H251" s="6003"/>
      <c r="I251" s="5724"/>
      <c r="J251" s="5736"/>
      <c r="K251" s="1618"/>
      <c r="L251" s="808"/>
      <c r="M251" s="808"/>
      <c r="N251" s="808"/>
      <c r="O251" s="808"/>
      <c r="P251" s="808"/>
      <c r="Q251" s="808"/>
      <c r="R251" s="772"/>
      <c r="S251" s="718"/>
    </row>
    <row r="252" spans="1:19" s="660" customFormat="1" ht="13.5" customHeight="1">
      <c r="A252" s="5726"/>
      <c r="B252" s="5713"/>
      <c r="C252" s="5714"/>
      <c r="D252" s="5714" t="s">
        <v>11787</v>
      </c>
      <c r="E252" s="5714"/>
      <c r="F252" s="5619"/>
      <c r="G252" s="5724"/>
      <c r="H252" s="6003"/>
      <c r="I252" s="5757"/>
      <c r="J252" s="5736"/>
      <c r="K252" s="1618"/>
      <c r="L252" s="808"/>
      <c r="M252" s="808"/>
      <c r="N252" s="808"/>
      <c r="O252" s="808"/>
      <c r="P252" s="808"/>
      <c r="Q252" s="808"/>
      <c r="R252" s="772"/>
      <c r="S252" s="718"/>
    </row>
    <row r="253" spans="1:19" s="333" customFormat="1" ht="27" customHeight="1">
      <c r="A253" s="5712">
        <v>51</v>
      </c>
      <c r="B253" s="5713" t="s">
        <v>4103</v>
      </c>
      <c r="C253" s="5714" t="s">
        <v>11919</v>
      </c>
      <c r="D253" s="5715" t="s">
        <v>11920</v>
      </c>
      <c r="E253" s="5716" t="s">
        <v>155</v>
      </c>
      <c r="F253" s="5717">
        <f>SUM(F255)</f>
        <v>1</v>
      </c>
      <c r="G253" s="5718"/>
      <c r="H253" s="6002">
        <f>F253*G253</f>
        <v>0</v>
      </c>
      <c r="I253" s="5719" t="s">
        <v>60</v>
      </c>
      <c r="J253" s="5756"/>
      <c r="K253" s="1325"/>
    </row>
    <row r="254" spans="1:19" ht="27" customHeight="1">
      <c r="A254" s="5721"/>
      <c r="B254" s="5714"/>
      <c r="C254" s="5714"/>
      <c r="D254" s="5714" t="s">
        <v>11908</v>
      </c>
      <c r="E254" s="5714"/>
      <c r="F254" s="5723"/>
      <c r="G254" s="5724"/>
      <c r="H254" s="6003"/>
      <c r="I254" s="5724"/>
      <c r="J254" s="5756"/>
    </row>
    <row r="255" spans="1:19" s="660" customFormat="1" ht="13.5" customHeight="1">
      <c r="A255" s="5726"/>
      <c r="B255" s="5713"/>
      <c r="C255" s="5714"/>
      <c r="D255" s="5714" t="s">
        <v>11804</v>
      </c>
      <c r="E255" s="5714"/>
      <c r="F255" s="5619">
        <v>1</v>
      </c>
      <c r="G255" s="5724"/>
      <c r="H255" s="6003"/>
      <c r="I255" s="5724"/>
      <c r="J255" s="5736"/>
      <c r="K255" s="1618"/>
      <c r="L255" s="808"/>
      <c r="M255" s="808"/>
      <c r="N255" s="808"/>
      <c r="O255" s="808"/>
      <c r="P255" s="808"/>
      <c r="Q255" s="808"/>
      <c r="R255" s="772"/>
      <c r="S255" s="718"/>
    </row>
    <row r="256" spans="1:19" s="660" customFormat="1" ht="13.5" customHeight="1">
      <c r="A256" s="5726"/>
      <c r="B256" s="5713"/>
      <c r="C256" s="5714"/>
      <c r="D256" s="5714" t="s">
        <v>11787</v>
      </c>
      <c r="E256" s="5714"/>
      <c r="F256" s="5619"/>
      <c r="G256" s="5724"/>
      <c r="H256" s="6003"/>
      <c r="I256" s="5757"/>
      <c r="J256" s="5736"/>
      <c r="K256" s="1618"/>
      <c r="L256" s="808"/>
      <c r="M256" s="808"/>
      <c r="N256" s="808"/>
      <c r="O256" s="808"/>
      <c r="P256" s="808"/>
      <c r="Q256" s="808"/>
      <c r="R256" s="772"/>
      <c r="S256" s="718"/>
    </row>
    <row r="257" spans="1:19" s="333" customFormat="1" ht="27" customHeight="1">
      <c r="A257" s="5712">
        <v>52</v>
      </c>
      <c r="B257" s="5713" t="s">
        <v>4103</v>
      </c>
      <c r="C257" s="5714" t="s">
        <v>11921</v>
      </c>
      <c r="D257" s="5715" t="s">
        <v>11922</v>
      </c>
      <c r="E257" s="5716" t="s">
        <v>155</v>
      </c>
      <c r="F257" s="5717">
        <f>SUM(F259)</f>
        <v>1</v>
      </c>
      <c r="G257" s="5718"/>
      <c r="H257" s="6002">
        <f>F257*G257</f>
        <v>0</v>
      </c>
      <c r="I257" s="5719" t="s">
        <v>60</v>
      </c>
      <c r="J257" s="5756"/>
      <c r="K257" s="1325"/>
    </row>
    <row r="258" spans="1:19" ht="27" customHeight="1">
      <c r="A258" s="5721"/>
      <c r="B258" s="5714"/>
      <c r="C258" s="5714"/>
      <c r="D258" s="5714" t="s">
        <v>11892</v>
      </c>
      <c r="E258" s="5714"/>
      <c r="F258" s="5723"/>
      <c r="G258" s="5724"/>
      <c r="H258" s="6003"/>
      <c r="I258" s="5724"/>
      <c r="J258" s="5756"/>
    </row>
    <row r="259" spans="1:19" s="660" customFormat="1" ht="13.5" customHeight="1">
      <c r="A259" s="5726"/>
      <c r="B259" s="5713"/>
      <c r="C259" s="5714"/>
      <c r="D259" s="5714" t="s">
        <v>11804</v>
      </c>
      <c r="E259" s="5714"/>
      <c r="F259" s="5619">
        <v>1</v>
      </c>
      <c r="G259" s="5724"/>
      <c r="H259" s="6003"/>
      <c r="I259" s="5724"/>
      <c r="J259" s="5736"/>
      <c r="K259" s="1618"/>
      <c r="L259" s="808"/>
      <c r="M259" s="808"/>
      <c r="N259" s="808"/>
      <c r="O259" s="808"/>
      <c r="P259" s="808"/>
      <c r="Q259" s="808"/>
      <c r="R259" s="772"/>
      <c r="S259" s="718"/>
    </row>
    <row r="260" spans="1:19" s="660" customFormat="1" ht="13.5" customHeight="1">
      <c r="A260" s="5726"/>
      <c r="B260" s="5713"/>
      <c r="C260" s="5714"/>
      <c r="D260" s="5714" t="s">
        <v>11787</v>
      </c>
      <c r="E260" s="5714"/>
      <c r="F260" s="5619"/>
      <c r="G260" s="5724"/>
      <c r="H260" s="6003"/>
      <c r="I260" s="5757"/>
      <c r="J260" s="5736"/>
      <c r="K260" s="1618"/>
      <c r="L260" s="808"/>
      <c r="M260" s="808"/>
      <c r="N260" s="808"/>
      <c r="O260" s="808"/>
      <c r="P260" s="808"/>
      <c r="Q260" s="808"/>
      <c r="R260" s="772"/>
      <c r="S260" s="718"/>
    </row>
    <row r="261" spans="1:19" s="333" customFormat="1" ht="27" customHeight="1">
      <c r="A261" s="5712">
        <v>53</v>
      </c>
      <c r="B261" s="5713" t="s">
        <v>4103</v>
      </c>
      <c r="C261" s="5714" t="s">
        <v>11923</v>
      </c>
      <c r="D261" s="5715" t="s">
        <v>11924</v>
      </c>
      <c r="E261" s="5716" t="s">
        <v>155</v>
      </c>
      <c r="F261" s="5717">
        <f>SUM(F263)</f>
        <v>1</v>
      </c>
      <c r="G261" s="5718"/>
      <c r="H261" s="6002">
        <f>F261*G261</f>
        <v>0</v>
      </c>
      <c r="I261" s="5719" t="s">
        <v>60</v>
      </c>
      <c r="J261" s="5756"/>
      <c r="K261" s="1325"/>
    </row>
    <row r="262" spans="1:19" ht="27" customHeight="1">
      <c r="A262" s="5721"/>
      <c r="B262" s="5714"/>
      <c r="C262" s="5714"/>
      <c r="D262" s="5714" t="s">
        <v>11908</v>
      </c>
      <c r="E262" s="5714"/>
      <c r="F262" s="5723"/>
      <c r="G262" s="5724"/>
      <c r="H262" s="6003"/>
      <c r="I262" s="5724"/>
      <c r="J262" s="5756"/>
    </row>
    <row r="263" spans="1:19" s="660" customFormat="1" ht="13.5" customHeight="1">
      <c r="A263" s="5726"/>
      <c r="B263" s="5713"/>
      <c r="C263" s="5714"/>
      <c r="D263" s="5714" t="s">
        <v>11804</v>
      </c>
      <c r="E263" s="5714"/>
      <c r="F263" s="5619">
        <v>1</v>
      </c>
      <c r="G263" s="5724"/>
      <c r="H263" s="6003"/>
      <c r="I263" s="5724"/>
      <c r="J263" s="5736"/>
      <c r="K263" s="1618"/>
      <c r="L263" s="808"/>
      <c r="M263" s="808"/>
      <c r="N263" s="808"/>
      <c r="O263" s="808"/>
      <c r="P263" s="808"/>
      <c r="Q263" s="808"/>
      <c r="R263" s="772"/>
      <c r="S263" s="718"/>
    </row>
    <row r="264" spans="1:19" s="660" customFormat="1" ht="13.5" customHeight="1">
      <c r="A264" s="5726"/>
      <c r="B264" s="5713"/>
      <c r="C264" s="5714"/>
      <c r="D264" s="5714" t="s">
        <v>11787</v>
      </c>
      <c r="E264" s="5714"/>
      <c r="F264" s="5619"/>
      <c r="G264" s="5724"/>
      <c r="H264" s="6003"/>
      <c r="I264" s="5757"/>
      <c r="J264" s="5736"/>
      <c r="K264" s="1618"/>
      <c r="L264" s="808"/>
      <c r="M264" s="808"/>
      <c r="N264" s="808"/>
      <c r="O264" s="808"/>
      <c r="P264" s="808"/>
      <c r="Q264" s="808"/>
      <c r="R264" s="772"/>
      <c r="S264" s="718"/>
    </row>
    <row r="265" spans="1:19" s="333" customFormat="1" ht="27" customHeight="1">
      <c r="A265" s="5712">
        <v>54</v>
      </c>
      <c r="B265" s="5713" t="s">
        <v>4103</v>
      </c>
      <c r="C265" s="5714" t="s">
        <v>11925</v>
      </c>
      <c r="D265" s="5715" t="s">
        <v>11926</v>
      </c>
      <c r="E265" s="5716" t="s">
        <v>155</v>
      </c>
      <c r="F265" s="5717">
        <f>SUM(F267)</f>
        <v>1</v>
      </c>
      <c r="G265" s="5718"/>
      <c r="H265" s="6002">
        <f>F265*G265</f>
        <v>0</v>
      </c>
      <c r="I265" s="5719" t="s">
        <v>60</v>
      </c>
      <c r="J265" s="5756"/>
      <c r="K265" s="1325"/>
    </row>
    <row r="266" spans="1:19" ht="27" customHeight="1">
      <c r="A266" s="5721"/>
      <c r="B266" s="5714"/>
      <c r="C266" s="5714"/>
      <c r="D266" s="5714" t="s">
        <v>11908</v>
      </c>
      <c r="E266" s="5714"/>
      <c r="F266" s="5723"/>
      <c r="G266" s="5724"/>
      <c r="H266" s="6003"/>
      <c r="I266" s="5724"/>
      <c r="J266" s="5756"/>
    </row>
    <row r="267" spans="1:19" s="660" customFormat="1" ht="13.5" customHeight="1">
      <c r="A267" s="5726"/>
      <c r="B267" s="5713"/>
      <c r="C267" s="5714"/>
      <c r="D267" s="5714" t="s">
        <v>11804</v>
      </c>
      <c r="E267" s="5714"/>
      <c r="F267" s="5619">
        <v>1</v>
      </c>
      <c r="G267" s="5724"/>
      <c r="H267" s="6003"/>
      <c r="I267" s="5724"/>
      <c r="J267" s="5736"/>
      <c r="K267" s="1618"/>
      <c r="L267" s="808"/>
      <c r="M267" s="808"/>
      <c r="N267" s="808"/>
      <c r="O267" s="808"/>
      <c r="P267" s="808"/>
      <c r="Q267" s="808"/>
      <c r="R267" s="772"/>
      <c r="S267" s="718"/>
    </row>
    <row r="268" spans="1:19" s="660" customFormat="1" ht="13.5" customHeight="1">
      <c r="A268" s="5726"/>
      <c r="B268" s="5713"/>
      <c r="C268" s="5714"/>
      <c r="D268" s="5714" t="s">
        <v>11787</v>
      </c>
      <c r="E268" s="5714"/>
      <c r="F268" s="5619"/>
      <c r="G268" s="5724"/>
      <c r="H268" s="6003"/>
      <c r="I268" s="5757"/>
      <c r="J268" s="5736"/>
      <c r="K268" s="1618"/>
      <c r="L268" s="808"/>
      <c r="M268" s="808"/>
      <c r="N268" s="808"/>
      <c r="O268" s="808"/>
      <c r="P268" s="808"/>
      <c r="Q268" s="808"/>
      <c r="R268" s="772"/>
      <c r="S268" s="718"/>
    </row>
    <row r="269" spans="1:19" s="333" customFormat="1" ht="27" customHeight="1">
      <c r="A269" s="5712">
        <v>55</v>
      </c>
      <c r="B269" s="5713" t="s">
        <v>4103</v>
      </c>
      <c r="C269" s="5714" t="s">
        <v>11927</v>
      </c>
      <c r="D269" s="5715" t="s">
        <v>11928</v>
      </c>
      <c r="E269" s="5716" t="s">
        <v>155</v>
      </c>
      <c r="F269" s="5717">
        <f>SUM(F271)</f>
        <v>1</v>
      </c>
      <c r="G269" s="5718"/>
      <c r="H269" s="6002">
        <f>F269*G269</f>
        <v>0</v>
      </c>
      <c r="I269" s="5719" t="s">
        <v>60</v>
      </c>
      <c r="J269" s="5756"/>
      <c r="K269" s="1325"/>
    </row>
    <row r="270" spans="1:19" ht="27" customHeight="1">
      <c r="A270" s="5721"/>
      <c r="B270" s="5714"/>
      <c r="C270" s="5714"/>
      <c r="D270" s="5714" t="s">
        <v>11908</v>
      </c>
      <c r="E270" s="5714"/>
      <c r="F270" s="5723"/>
      <c r="G270" s="5724"/>
      <c r="H270" s="6003"/>
      <c r="I270" s="5724"/>
      <c r="J270" s="5756"/>
    </row>
    <row r="271" spans="1:19" s="660" customFormat="1" ht="13.5" customHeight="1">
      <c r="A271" s="5726"/>
      <c r="B271" s="5713"/>
      <c r="C271" s="5714"/>
      <c r="D271" s="5714" t="s">
        <v>11804</v>
      </c>
      <c r="E271" s="5714"/>
      <c r="F271" s="5619">
        <v>1</v>
      </c>
      <c r="G271" s="5724"/>
      <c r="H271" s="6003"/>
      <c r="I271" s="5724"/>
      <c r="J271" s="5736"/>
      <c r="K271" s="1618"/>
      <c r="L271" s="808"/>
      <c r="M271" s="808"/>
      <c r="N271" s="808"/>
      <c r="O271" s="808"/>
      <c r="P271" s="808"/>
      <c r="Q271" s="808"/>
      <c r="R271" s="772"/>
      <c r="S271" s="718"/>
    </row>
    <row r="272" spans="1:19" s="660" customFormat="1" ht="13.5" customHeight="1">
      <c r="A272" s="5726"/>
      <c r="B272" s="5713"/>
      <c r="C272" s="5714"/>
      <c r="D272" s="5714" t="s">
        <v>11787</v>
      </c>
      <c r="E272" s="5714"/>
      <c r="F272" s="5619"/>
      <c r="G272" s="5724"/>
      <c r="H272" s="6003"/>
      <c r="I272" s="5757"/>
      <c r="J272" s="5736"/>
      <c r="K272" s="1618"/>
      <c r="L272" s="808"/>
      <c r="M272" s="808"/>
      <c r="N272" s="808"/>
      <c r="O272" s="808"/>
      <c r="P272" s="808"/>
      <c r="Q272" s="808"/>
      <c r="R272" s="772"/>
      <c r="S272" s="718"/>
    </row>
    <row r="273" spans="1:19" s="333" customFormat="1" ht="27" customHeight="1">
      <c r="A273" s="5712">
        <v>56</v>
      </c>
      <c r="B273" s="5713" t="s">
        <v>4103</v>
      </c>
      <c r="C273" s="5714" t="s">
        <v>11929</v>
      </c>
      <c r="D273" s="5715" t="s">
        <v>11930</v>
      </c>
      <c r="E273" s="5716" t="s">
        <v>155</v>
      </c>
      <c r="F273" s="5717">
        <f>SUM(F275)</f>
        <v>1</v>
      </c>
      <c r="G273" s="5718"/>
      <c r="H273" s="6002">
        <f>F273*G273</f>
        <v>0</v>
      </c>
      <c r="I273" s="5719" t="s">
        <v>60</v>
      </c>
      <c r="J273" s="5756"/>
      <c r="K273" s="1325"/>
    </row>
    <row r="274" spans="1:19" ht="27" customHeight="1">
      <c r="A274" s="5721"/>
      <c r="B274" s="5714"/>
      <c r="C274" s="5714"/>
      <c r="D274" s="5714" t="s">
        <v>11908</v>
      </c>
      <c r="E274" s="5714"/>
      <c r="F274" s="5723"/>
      <c r="G274" s="5724"/>
      <c r="H274" s="6003"/>
      <c r="I274" s="5724"/>
      <c r="J274" s="5756"/>
    </row>
    <row r="275" spans="1:19" s="660" customFormat="1" ht="13.5" customHeight="1">
      <c r="A275" s="5726"/>
      <c r="B275" s="5713"/>
      <c r="C275" s="5714"/>
      <c r="D275" s="5714" t="s">
        <v>11804</v>
      </c>
      <c r="E275" s="5714"/>
      <c r="F275" s="5619">
        <v>1</v>
      </c>
      <c r="G275" s="5724"/>
      <c r="H275" s="6003"/>
      <c r="I275" s="5724"/>
      <c r="J275" s="5736"/>
      <c r="K275" s="1618"/>
      <c r="L275" s="808"/>
      <c r="M275" s="808"/>
      <c r="N275" s="808"/>
      <c r="O275" s="808"/>
      <c r="P275" s="808"/>
      <c r="Q275" s="808"/>
      <c r="R275" s="772"/>
      <c r="S275" s="718"/>
    </row>
    <row r="276" spans="1:19" s="660" customFormat="1" ht="13.5" customHeight="1">
      <c r="A276" s="5726"/>
      <c r="B276" s="5713"/>
      <c r="C276" s="5714"/>
      <c r="D276" s="5714" t="s">
        <v>11787</v>
      </c>
      <c r="E276" s="5714"/>
      <c r="F276" s="5619"/>
      <c r="G276" s="5724"/>
      <c r="H276" s="6003"/>
      <c r="I276" s="5757"/>
      <c r="J276" s="5736"/>
      <c r="K276" s="1618"/>
      <c r="L276" s="808"/>
      <c r="M276" s="808"/>
      <c r="N276" s="808"/>
      <c r="O276" s="808"/>
      <c r="P276" s="808"/>
      <c r="Q276" s="808"/>
      <c r="R276" s="772"/>
      <c r="S276" s="718"/>
    </row>
    <row r="277" spans="1:19" s="333" customFormat="1" ht="27" customHeight="1">
      <c r="A277" s="5712">
        <v>57</v>
      </c>
      <c r="B277" s="5713" t="s">
        <v>4103</v>
      </c>
      <c r="C277" s="5714" t="s">
        <v>11931</v>
      </c>
      <c r="D277" s="5715" t="s">
        <v>11932</v>
      </c>
      <c r="E277" s="5716" t="s">
        <v>155</v>
      </c>
      <c r="F277" s="5717">
        <f>SUM(F279)</f>
        <v>1</v>
      </c>
      <c r="G277" s="5718"/>
      <c r="H277" s="6002">
        <f>F277*G277</f>
        <v>0</v>
      </c>
      <c r="I277" s="5719" t="s">
        <v>60</v>
      </c>
      <c r="J277" s="5756"/>
      <c r="K277" s="1325"/>
    </row>
    <row r="278" spans="1:19" ht="27" customHeight="1">
      <c r="A278" s="5721"/>
      <c r="B278" s="5714"/>
      <c r="C278" s="5714"/>
      <c r="D278" s="5714" t="s">
        <v>11933</v>
      </c>
      <c r="E278" s="5714"/>
      <c r="F278" s="5723"/>
      <c r="G278" s="5724"/>
      <c r="H278" s="6003"/>
      <c r="I278" s="5724"/>
      <c r="J278" s="5756"/>
    </row>
    <row r="279" spans="1:19" s="660" customFormat="1" ht="13.5" customHeight="1">
      <c r="A279" s="5726"/>
      <c r="B279" s="5713"/>
      <c r="C279" s="5714"/>
      <c r="D279" s="5714" t="s">
        <v>11804</v>
      </c>
      <c r="E279" s="5714"/>
      <c r="F279" s="5619">
        <v>1</v>
      </c>
      <c r="G279" s="5724"/>
      <c r="H279" s="6003"/>
      <c r="I279" s="5724"/>
      <c r="J279" s="5736"/>
      <c r="K279" s="1618"/>
      <c r="L279" s="808"/>
      <c r="M279" s="808"/>
      <c r="N279" s="808"/>
      <c r="O279" s="808"/>
      <c r="P279" s="808"/>
      <c r="Q279" s="808"/>
      <c r="R279" s="772"/>
      <c r="S279" s="718"/>
    </row>
    <row r="280" spans="1:19" s="660" customFormat="1" ht="13.5" customHeight="1">
      <c r="A280" s="5726"/>
      <c r="B280" s="5713"/>
      <c r="C280" s="5714"/>
      <c r="D280" s="5714" t="s">
        <v>11787</v>
      </c>
      <c r="E280" s="5714"/>
      <c r="F280" s="5619"/>
      <c r="G280" s="5724"/>
      <c r="H280" s="6003"/>
      <c r="I280" s="5757"/>
      <c r="J280" s="5736"/>
      <c r="K280" s="1618"/>
      <c r="L280" s="808"/>
      <c r="M280" s="808"/>
      <c r="N280" s="808"/>
      <c r="O280" s="808"/>
      <c r="P280" s="808"/>
      <c r="Q280" s="808"/>
      <c r="R280" s="772"/>
      <c r="S280" s="718"/>
    </row>
    <row r="281" spans="1:19" s="333" customFormat="1" ht="27" customHeight="1">
      <c r="A281" s="5712">
        <v>58</v>
      </c>
      <c r="B281" s="5713" t="s">
        <v>4103</v>
      </c>
      <c r="C281" s="5714" t="s">
        <v>11934</v>
      </c>
      <c r="D281" s="5715" t="s">
        <v>11935</v>
      </c>
      <c r="E281" s="5716" t="s">
        <v>155</v>
      </c>
      <c r="F281" s="5717">
        <f>SUM(F283)</f>
        <v>1</v>
      </c>
      <c r="G281" s="5718"/>
      <c r="H281" s="6002">
        <f>F281*G281</f>
        <v>0</v>
      </c>
      <c r="I281" s="5719" t="s">
        <v>60</v>
      </c>
      <c r="J281" s="5756"/>
      <c r="K281" s="1325"/>
    </row>
    <row r="282" spans="1:19" ht="27" customHeight="1">
      <c r="A282" s="5721"/>
      <c r="B282" s="5714"/>
      <c r="C282" s="5714"/>
      <c r="D282" s="5714" t="s">
        <v>11933</v>
      </c>
      <c r="E282" s="5714"/>
      <c r="F282" s="5723"/>
      <c r="G282" s="5724"/>
      <c r="H282" s="6003"/>
      <c r="I282" s="5724"/>
      <c r="J282" s="5756"/>
    </row>
    <row r="283" spans="1:19" s="660" customFormat="1" ht="13.5" customHeight="1">
      <c r="A283" s="5726"/>
      <c r="B283" s="5713"/>
      <c r="C283" s="5714"/>
      <c r="D283" s="5714" t="s">
        <v>11804</v>
      </c>
      <c r="E283" s="5714"/>
      <c r="F283" s="5619">
        <v>1</v>
      </c>
      <c r="G283" s="5724"/>
      <c r="H283" s="6003"/>
      <c r="I283" s="5724"/>
      <c r="J283" s="5736"/>
      <c r="K283" s="1618"/>
      <c r="L283" s="808"/>
      <c r="M283" s="808"/>
      <c r="N283" s="808"/>
      <c r="O283" s="808"/>
      <c r="P283" s="808"/>
      <c r="Q283" s="808"/>
      <c r="R283" s="772"/>
      <c r="S283" s="718"/>
    </row>
    <row r="284" spans="1:19" s="660" customFormat="1" ht="13.5" customHeight="1">
      <c r="A284" s="5726"/>
      <c r="B284" s="5713"/>
      <c r="C284" s="5714"/>
      <c r="D284" s="5714" t="s">
        <v>11787</v>
      </c>
      <c r="E284" s="5714"/>
      <c r="F284" s="5619"/>
      <c r="G284" s="5724"/>
      <c r="H284" s="6003"/>
      <c r="I284" s="5757"/>
      <c r="J284" s="5736"/>
      <c r="K284" s="1618"/>
      <c r="L284" s="808"/>
      <c r="M284" s="808"/>
      <c r="N284" s="808"/>
      <c r="O284" s="808"/>
      <c r="P284" s="808"/>
      <c r="Q284" s="808"/>
      <c r="R284" s="772"/>
      <c r="S284" s="718"/>
    </row>
    <row r="285" spans="1:19" s="333" customFormat="1" ht="27" customHeight="1">
      <c r="A285" s="5712">
        <v>59</v>
      </c>
      <c r="B285" s="5713" t="s">
        <v>4103</v>
      </c>
      <c r="C285" s="5714" t="s">
        <v>11936</v>
      </c>
      <c r="D285" s="5715" t="s">
        <v>11937</v>
      </c>
      <c r="E285" s="5716" t="s">
        <v>155</v>
      </c>
      <c r="F285" s="5717">
        <f>SUM(F287)</f>
        <v>1</v>
      </c>
      <c r="G285" s="5718"/>
      <c r="H285" s="6002">
        <f>F285*G285</f>
        <v>0</v>
      </c>
      <c r="I285" s="5719" t="s">
        <v>60</v>
      </c>
      <c r="J285" s="5756"/>
      <c r="K285" s="1325"/>
    </row>
    <row r="286" spans="1:19" ht="27" customHeight="1">
      <c r="A286" s="5721"/>
      <c r="B286" s="5714"/>
      <c r="C286" s="5714"/>
      <c r="D286" s="5714" t="s">
        <v>11908</v>
      </c>
      <c r="E286" s="5714"/>
      <c r="F286" s="5723"/>
      <c r="G286" s="5724"/>
      <c r="H286" s="6003"/>
      <c r="I286" s="5724"/>
      <c r="J286" s="5756"/>
    </row>
    <row r="287" spans="1:19" s="660" customFormat="1" ht="13.5" customHeight="1">
      <c r="A287" s="5726"/>
      <c r="B287" s="5713"/>
      <c r="C287" s="5714"/>
      <c r="D287" s="5714" t="s">
        <v>11804</v>
      </c>
      <c r="E287" s="5714"/>
      <c r="F287" s="5619">
        <v>1</v>
      </c>
      <c r="G287" s="5724"/>
      <c r="H287" s="6003"/>
      <c r="I287" s="5724"/>
      <c r="J287" s="5736"/>
      <c r="K287" s="1618"/>
      <c r="L287" s="808"/>
      <c r="M287" s="808"/>
      <c r="N287" s="808"/>
      <c r="O287" s="808"/>
      <c r="P287" s="808"/>
      <c r="Q287" s="808"/>
      <c r="R287" s="772"/>
      <c r="S287" s="718"/>
    </row>
    <row r="288" spans="1:19" s="660" customFormat="1" ht="13.5" customHeight="1">
      <c r="A288" s="5726"/>
      <c r="B288" s="5713"/>
      <c r="C288" s="5714"/>
      <c r="D288" s="5714" t="s">
        <v>11787</v>
      </c>
      <c r="E288" s="5714"/>
      <c r="F288" s="5619"/>
      <c r="G288" s="5724"/>
      <c r="H288" s="6003"/>
      <c r="I288" s="5757"/>
      <c r="J288" s="5736"/>
      <c r="K288" s="1618"/>
      <c r="L288" s="808"/>
      <c r="M288" s="808"/>
      <c r="N288" s="808"/>
      <c r="O288" s="808"/>
      <c r="P288" s="808"/>
      <c r="Q288" s="808"/>
      <c r="R288" s="772"/>
      <c r="S288" s="718"/>
    </row>
    <row r="289" spans="1:19" s="333" customFormat="1" ht="27" customHeight="1">
      <c r="A289" s="5712">
        <v>60</v>
      </c>
      <c r="B289" s="5713" t="s">
        <v>4103</v>
      </c>
      <c r="C289" s="5714" t="s">
        <v>11938</v>
      </c>
      <c r="D289" s="5715" t="s">
        <v>11939</v>
      </c>
      <c r="E289" s="5716" t="s">
        <v>155</v>
      </c>
      <c r="F289" s="5717">
        <f>SUM(F291)</f>
        <v>1</v>
      </c>
      <c r="G289" s="5718"/>
      <c r="H289" s="6002">
        <f>F289*G289</f>
        <v>0</v>
      </c>
      <c r="I289" s="5719" t="s">
        <v>60</v>
      </c>
      <c r="J289" s="5756"/>
      <c r="K289" s="1325"/>
    </row>
    <row r="290" spans="1:19" ht="27" customHeight="1">
      <c r="A290" s="5721"/>
      <c r="B290" s="5714"/>
      <c r="C290" s="5714"/>
      <c r="D290" s="5714" t="s">
        <v>11940</v>
      </c>
      <c r="E290" s="5714"/>
      <c r="F290" s="5723"/>
      <c r="G290" s="5724"/>
      <c r="H290" s="6003"/>
      <c r="I290" s="5724"/>
      <c r="J290" s="5756"/>
    </row>
    <row r="291" spans="1:19" s="660" customFormat="1" ht="13.5" customHeight="1">
      <c r="A291" s="5726"/>
      <c r="B291" s="5713"/>
      <c r="C291" s="5714"/>
      <c r="D291" s="5714" t="s">
        <v>11804</v>
      </c>
      <c r="E291" s="5714"/>
      <c r="F291" s="5619">
        <v>1</v>
      </c>
      <c r="G291" s="5724"/>
      <c r="H291" s="6003"/>
      <c r="I291" s="5724"/>
      <c r="J291" s="5736"/>
      <c r="K291" s="1618"/>
      <c r="L291" s="808"/>
      <c r="M291" s="808"/>
      <c r="N291" s="808"/>
      <c r="O291" s="808"/>
      <c r="P291" s="808"/>
      <c r="Q291" s="808"/>
      <c r="R291" s="772"/>
      <c r="S291" s="718"/>
    </row>
    <row r="292" spans="1:19" s="660" customFormat="1" ht="13.5" customHeight="1">
      <c r="A292" s="5726"/>
      <c r="B292" s="5713"/>
      <c r="C292" s="5714"/>
      <c r="D292" s="5714" t="s">
        <v>11787</v>
      </c>
      <c r="E292" s="5714"/>
      <c r="F292" s="5619"/>
      <c r="G292" s="5724"/>
      <c r="H292" s="6003"/>
      <c r="I292" s="5757"/>
      <c r="J292" s="5736"/>
      <c r="K292" s="1618"/>
      <c r="L292" s="808"/>
      <c r="M292" s="808"/>
      <c r="N292" s="808"/>
      <c r="O292" s="808"/>
      <c r="P292" s="808"/>
      <c r="Q292" s="808"/>
      <c r="R292" s="772"/>
      <c r="S292" s="718"/>
    </row>
    <row r="293" spans="1:19" s="333" customFormat="1" ht="27" customHeight="1">
      <c r="A293" s="5712">
        <v>61</v>
      </c>
      <c r="B293" s="5713" t="s">
        <v>4103</v>
      </c>
      <c r="C293" s="5714" t="s">
        <v>11941</v>
      </c>
      <c r="D293" s="5715" t="s">
        <v>11942</v>
      </c>
      <c r="E293" s="5716" t="s">
        <v>155</v>
      </c>
      <c r="F293" s="5717">
        <f>SUM(F295)</f>
        <v>1</v>
      </c>
      <c r="G293" s="5718"/>
      <c r="H293" s="6002">
        <f>F293*G293</f>
        <v>0</v>
      </c>
      <c r="I293" s="5719" t="s">
        <v>60</v>
      </c>
      <c r="J293" s="5756"/>
      <c r="K293" s="1325"/>
    </row>
    <row r="294" spans="1:19" ht="27" customHeight="1">
      <c r="A294" s="5721"/>
      <c r="B294" s="5714"/>
      <c r="C294" s="5714"/>
      <c r="D294" s="5714" t="s">
        <v>11940</v>
      </c>
      <c r="E294" s="5714"/>
      <c r="F294" s="5723"/>
      <c r="G294" s="5724"/>
      <c r="H294" s="6003"/>
      <c r="I294" s="5724"/>
      <c r="J294" s="5756"/>
    </row>
    <row r="295" spans="1:19" s="660" customFormat="1" ht="13.5" customHeight="1">
      <c r="A295" s="5726"/>
      <c r="B295" s="5713"/>
      <c r="C295" s="5714"/>
      <c r="D295" s="5714" t="s">
        <v>11804</v>
      </c>
      <c r="E295" s="5714"/>
      <c r="F295" s="5619">
        <v>1</v>
      </c>
      <c r="G295" s="5724"/>
      <c r="H295" s="6003"/>
      <c r="I295" s="5724"/>
      <c r="J295" s="5736"/>
      <c r="K295" s="1618"/>
      <c r="L295" s="808"/>
      <c r="M295" s="808"/>
      <c r="N295" s="808"/>
      <c r="O295" s="808"/>
      <c r="P295" s="808"/>
      <c r="Q295" s="808"/>
      <c r="R295" s="772"/>
      <c r="S295" s="718"/>
    </row>
    <row r="296" spans="1:19" s="660" customFormat="1" ht="13.5" customHeight="1">
      <c r="A296" s="5726"/>
      <c r="B296" s="5713"/>
      <c r="C296" s="5714"/>
      <c r="D296" s="5714" t="s">
        <v>11787</v>
      </c>
      <c r="E296" s="5714"/>
      <c r="F296" s="5619"/>
      <c r="G296" s="5724"/>
      <c r="H296" s="6003"/>
      <c r="I296" s="5757"/>
      <c r="J296" s="5736"/>
      <c r="K296" s="1618"/>
      <c r="L296" s="808"/>
      <c r="M296" s="808"/>
      <c r="N296" s="808"/>
      <c r="O296" s="808"/>
      <c r="P296" s="808"/>
      <c r="Q296" s="808"/>
      <c r="R296" s="772"/>
      <c r="S296" s="718"/>
    </row>
    <row r="297" spans="1:19" s="333" customFormat="1" ht="27" customHeight="1">
      <c r="A297" s="5712">
        <v>62</v>
      </c>
      <c r="B297" s="5713" t="s">
        <v>4103</v>
      </c>
      <c r="C297" s="5714" t="s">
        <v>11943</v>
      </c>
      <c r="D297" s="5715" t="s">
        <v>11944</v>
      </c>
      <c r="E297" s="5716" t="s">
        <v>155</v>
      </c>
      <c r="F297" s="5717">
        <f>SUM(F299)</f>
        <v>1</v>
      </c>
      <c r="G297" s="5718"/>
      <c r="H297" s="6002">
        <f>F297*G297</f>
        <v>0</v>
      </c>
      <c r="I297" s="5719" t="s">
        <v>60</v>
      </c>
      <c r="J297" s="5756"/>
      <c r="K297" s="1325"/>
    </row>
    <row r="298" spans="1:19" ht="27" customHeight="1">
      <c r="A298" s="5721"/>
      <c r="B298" s="5714"/>
      <c r="C298" s="5714"/>
      <c r="D298" s="5714" t="s">
        <v>11940</v>
      </c>
      <c r="E298" s="5714"/>
      <c r="F298" s="5723"/>
      <c r="G298" s="5724"/>
      <c r="H298" s="6003"/>
      <c r="I298" s="5724"/>
      <c r="J298" s="5756"/>
    </row>
    <row r="299" spans="1:19" s="660" customFormat="1" ht="13.5" customHeight="1">
      <c r="A299" s="5726"/>
      <c r="B299" s="5713"/>
      <c r="C299" s="5714"/>
      <c r="D299" s="5714" t="s">
        <v>11804</v>
      </c>
      <c r="E299" s="5714"/>
      <c r="F299" s="5619">
        <v>1</v>
      </c>
      <c r="G299" s="5724"/>
      <c r="H299" s="6003"/>
      <c r="I299" s="5724"/>
      <c r="J299" s="5736"/>
      <c r="K299" s="1618"/>
      <c r="L299" s="808"/>
      <c r="M299" s="808"/>
      <c r="N299" s="808"/>
      <c r="O299" s="808"/>
      <c r="P299" s="808"/>
      <c r="Q299" s="808"/>
      <c r="R299" s="772"/>
      <c r="S299" s="718"/>
    </row>
    <row r="300" spans="1:19" s="660" customFormat="1" ht="13.5" customHeight="1">
      <c r="A300" s="5726"/>
      <c r="B300" s="5713"/>
      <c r="C300" s="5714"/>
      <c r="D300" s="5714" t="s">
        <v>11787</v>
      </c>
      <c r="E300" s="5714"/>
      <c r="F300" s="5619"/>
      <c r="G300" s="5724"/>
      <c r="H300" s="6003"/>
      <c r="I300" s="5757"/>
      <c r="J300" s="5736"/>
      <c r="K300" s="1618"/>
      <c r="L300" s="808"/>
      <c r="M300" s="808"/>
      <c r="N300" s="808"/>
      <c r="O300" s="808"/>
      <c r="P300" s="808"/>
      <c r="Q300" s="808"/>
      <c r="R300" s="772"/>
      <c r="S300" s="718"/>
    </row>
    <row r="301" spans="1:19" s="333" customFormat="1" ht="27" customHeight="1">
      <c r="A301" s="5712">
        <v>63</v>
      </c>
      <c r="B301" s="5713" t="s">
        <v>4103</v>
      </c>
      <c r="C301" s="5714" t="s">
        <v>11945</v>
      </c>
      <c r="D301" s="5715" t="s">
        <v>11946</v>
      </c>
      <c r="E301" s="5716" t="s">
        <v>155</v>
      </c>
      <c r="F301" s="5717">
        <f>SUM(F303)</f>
        <v>1</v>
      </c>
      <c r="G301" s="5718"/>
      <c r="H301" s="6002">
        <f>F301*G301</f>
        <v>0</v>
      </c>
      <c r="I301" s="5719" t="s">
        <v>60</v>
      </c>
      <c r="J301" s="5756"/>
      <c r="K301" s="1325"/>
    </row>
    <row r="302" spans="1:19" ht="27" customHeight="1">
      <c r="A302" s="5721"/>
      <c r="B302" s="5714"/>
      <c r="C302" s="5714"/>
      <c r="D302" s="5714" t="s">
        <v>11908</v>
      </c>
      <c r="E302" s="5714"/>
      <c r="F302" s="5723"/>
      <c r="G302" s="5724"/>
      <c r="H302" s="6003"/>
      <c r="I302" s="5724"/>
      <c r="J302" s="5756"/>
    </row>
    <row r="303" spans="1:19" s="660" customFormat="1" ht="13.5" customHeight="1">
      <c r="A303" s="5726"/>
      <c r="B303" s="5713"/>
      <c r="C303" s="5714"/>
      <c r="D303" s="5714" t="s">
        <v>11804</v>
      </c>
      <c r="E303" s="5714"/>
      <c r="F303" s="5619">
        <v>1</v>
      </c>
      <c r="G303" s="5724"/>
      <c r="H303" s="6003"/>
      <c r="I303" s="5724"/>
      <c r="J303" s="5736"/>
      <c r="K303" s="1618"/>
      <c r="L303" s="808"/>
      <c r="M303" s="808"/>
      <c r="N303" s="808"/>
      <c r="O303" s="808"/>
      <c r="P303" s="808"/>
      <c r="Q303" s="808"/>
      <c r="R303" s="772"/>
      <c r="S303" s="718"/>
    </row>
    <row r="304" spans="1:19" s="660" customFormat="1" ht="13.5" customHeight="1">
      <c r="A304" s="5726"/>
      <c r="B304" s="5713"/>
      <c r="C304" s="5714"/>
      <c r="D304" s="5714" t="s">
        <v>11787</v>
      </c>
      <c r="E304" s="5714"/>
      <c r="F304" s="5619"/>
      <c r="G304" s="5724"/>
      <c r="H304" s="6003"/>
      <c r="I304" s="5757"/>
      <c r="J304" s="5736"/>
      <c r="K304" s="1618"/>
      <c r="L304" s="808"/>
      <c r="M304" s="808"/>
      <c r="N304" s="808"/>
      <c r="O304" s="808"/>
      <c r="P304" s="808"/>
      <c r="Q304" s="808"/>
      <c r="R304" s="772"/>
      <c r="S304" s="718"/>
    </row>
    <row r="305" spans="1:19" s="333" customFormat="1" ht="27" customHeight="1">
      <c r="A305" s="5712">
        <v>64</v>
      </c>
      <c r="B305" s="5713" t="s">
        <v>4103</v>
      </c>
      <c r="C305" s="5714" t="s">
        <v>11947</v>
      </c>
      <c r="D305" s="5715" t="s">
        <v>11948</v>
      </c>
      <c r="E305" s="5716" t="s">
        <v>155</v>
      </c>
      <c r="F305" s="5717">
        <f>SUM(F307)</f>
        <v>1</v>
      </c>
      <c r="G305" s="5718"/>
      <c r="H305" s="6002">
        <f>F305*G305</f>
        <v>0</v>
      </c>
      <c r="I305" s="5719" t="s">
        <v>60</v>
      </c>
      <c r="J305" s="5756"/>
      <c r="K305" s="1325"/>
    </row>
    <row r="306" spans="1:19" ht="27" customHeight="1">
      <c r="A306" s="5721"/>
      <c r="B306" s="5714"/>
      <c r="C306" s="5714"/>
      <c r="D306" s="5714" t="s">
        <v>11908</v>
      </c>
      <c r="E306" s="5714"/>
      <c r="F306" s="5723"/>
      <c r="G306" s="5724"/>
      <c r="H306" s="6003"/>
      <c r="I306" s="5724"/>
      <c r="J306" s="5756"/>
    </row>
    <row r="307" spans="1:19" s="660" customFormat="1" ht="13.5" customHeight="1">
      <c r="A307" s="5726"/>
      <c r="B307" s="5713"/>
      <c r="C307" s="5714"/>
      <c r="D307" s="5714" t="s">
        <v>11804</v>
      </c>
      <c r="E307" s="5714"/>
      <c r="F307" s="5619">
        <v>1</v>
      </c>
      <c r="G307" s="5724"/>
      <c r="H307" s="6003"/>
      <c r="I307" s="5724"/>
      <c r="J307" s="5736"/>
      <c r="K307" s="1618"/>
      <c r="L307" s="808"/>
      <c r="M307" s="808"/>
      <c r="N307" s="808"/>
      <c r="O307" s="808"/>
      <c r="P307" s="808"/>
      <c r="Q307" s="808"/>
      <c r="R307" s="772"/>
      <c r="S307" s="718"/>
    </row>
    <row r="308" spans="1:19" s="660" customFormat="1" ht="13.5" customHeight="1">
      <c r="A308" s="5726"/>
      <c r="B308" s="5713"/>
      <c r="C308" s="5714"/>
      <c r="D308" s="5714" t="s">
        <v>11787</v>
      </c>
      <c r="E308" s="5714"/>
      <c r="F308" s="5619"/>
      <c r="G308" s="5724"/>
      <c r="H308" s="6003"/>
      <c r="I308" s="5757"/>
      <c r="J308" s="5736"/>
      <c r="K308" s="1618"/>
      <c r="L308" s="808"/>
      <c r="M308" s="808"/>
      <c r="N308" s="808"/>
      <c r="O308" s="808"/>
      <c r="P308" s="808"/>
      <c r="Q308" s="808"/>
      <c r="R308" s="772"/>
      <c r="S308" s="718"/>
    </row>
    <row r="309" spans="1:19" s="333" customFormat="1" ht="27" customHeight="1">
      <c r="A309" s="5712">
        <v>65</v>
      </c>
      <c r="B309" s="5713" t="s">
        <v>4103</v>
      </c>
      <c r="C309" s="5714" t="s">
        <v>11949</v>
      </c>
      <c r="D309" s="5715" t="s">
        <v>11950</v>
      </c>
      <c r="E309" s="5716" t="s">
        <v>155</v>
      </c>
      <c r="F309" s="5717">
        <f>SUM(F311)</f>
        <v>1</v>
      </c>
      <c r="G309" s="5718"/>
      <c r="H309" s="6002">
        <f>F309*G309</f>
        <v>0</v>
      </c>
      <c r="I309" s="5719" t="s">
        <v>60</v>
      </c>
      <c r="J309" s="5756"/>
      <c r="K309" s="1325"/>
    </row>
    <row r="310" spans="1:19" ht="27" customHeight="1">
      <c r="A310" s="5721"/>
      <c r="B310" s="5714"/>
      <c r="C310" s="5714"/>
      <c r="D310" s="5714" t="s">
        <v>11940</v>
      </c>
      <c r="E310" s="5714"/>
      <c r="F310" s="5723"/>
      <c r="G310" s="5724"/>
      <c r="H310" s="6003"/>
      <c r="I310" s="5724"/>
      <c r="J310" s="5756"/>
    </row>
    <row r="311" spans="1:19" s="660" customFormat="1" ht="13.5" customHeight="1">
      <c r="A311" s="5726"/>
      <c r="B311" s="5713"/>
      <c r="C311" s="5714"/>
      <c r="D311" s="5714" t="s">
        <v>11804</v>
      </c>
      <c r="E311" s="5714"/>
      <c r="F311" s="5619">
        <v>1</v>
      </c>
      <c r="G311" s="5724"/>
      <c r="H311" s="6003"/>
      <c r="I311" s="5724"/>
      <c r="J311" s="5736"/>
      <c r="K311" s="1618"/>
      <c r="L311" s="808"/>
      <c r="M311" s="808"/>
      <c r="N311" s="808"/>
      <c r="O311" s="808"/>
      <c r="P311" s="808"/>
      <c r="Q311" s="808"/>
      <c r="R311" s="772"/>
      <c r="S311" s="718"/>
    </row>
    <row r="312" spans="1:19" s="660" customFormat="1" ht="13.5" customHeight="1">
      <c r="A312" s="5726"/>
      <c r="B312" s="5713"/>
      <c r="C312" s="5714"/>
      <c r="D312" s="5714" t="s">
        <v>11787</v>
      </c>
      <c r="E312" s="5714"/>
      <c r="F312" s="5619"/>
      <c r="G312" s="5724"/>
      <c r="H312" s="6003"/>
      <c r="I312" s="5757"/>
      <c r="J312" s="5736"/>
      <c r="K312" s="1618"/>
      <c r="L312" s="808"/>
      <c r="M312" s="808"/>
      <c r="N312" s="808"/>
      <c r="O312" s="808"/>
      <c r="P312" s="808"/>
      <c r="Q312" s="808"/>
      <c r="R312" s="772"/>
      <c r="S312" s="718"/>
    </row>
    <row r="313" spans="1:19" s="333" customFormat="1" ht="27" customHeight="1">
      <c r="A313" s="5712">
        <v>66</v>
      </c>
      <c r="B313" s="5713" t="s">
        <v>4103</v>
      </c>
      <c r="C313" s="5714" t="s">
        <v>11951</v>
      </c>
      <c r="D313" s="5715" t="s">
        <v>11952</v>
      </c>
      <c r="E313" s="5716" t="s">
        <v>155</v>
      </c>
      <c r="F313" s="5717">
        <f>SUM(F315)</f>
        <v>1</v>
      </c>
      <c r="G313" s="5718"/>
      <c r="H313" s="6002">
        <f>F313*G313</f>
        <v>0</v>
      </c>
      <c r="I313" s="5719" t="s">
        <v>60</v>
      </c>
      <c r="J313" s="5756"/>
      <c r="K313" s="1325"/>
    </row>
    <row r="314" spans="1:19" ht="27" customHeight="1">
      <c r="A314" s="5721"/>
      <c r="B314" s="5714"/>
      <c r="C314" s="5714"/>
      <c r="D314" s="5714" t="s">
        <v>11940</v>
      </c>
      <c r="E314" s="5714"/>
      <c r="F314" s="5723"/>
      <c r="G314" s="5724"/>
      <c r="H314" s="6003"/>
      <c r="I314" s="5724"/>
      <c r="J314" s="5756"/>
    </row>
    <row r="315" spans="1:19" s="660" customFormat="1" ht="13.5" customHeight="1">
      <c r="A315" s="5726"/>
      <c r="B315" s="5713"/>
      <c r="C315" s="5714"/>
      <c r="D315" s="5714" t="s">
        <v>11804</v>
      </c>
      <c r="E315" s="5714"/>
      <c r="F315" s="5619">
        <v>1</v>
      </c>
      <c r="G315" s="5724"/>
      <c r="H315" s="6003"/>
      <c r="I315" s="5724"/>
      <c r="J315" s="5736"/>
      <c r="K315" s="1618"/>
      <c r="L315" s="808"/>
      <c r="M315" s="808"/>
      <c r="N315" s="808"/>
      <c r="O315" s="808"/>
      <c r="P315" s="808"/>
      <c r="Q315" s="808"/>
      <c r="R315" s="772"/>
      <c r="S315" s="718"/>
    </row>
    <row r="316" spans="1:19" s="660" customFormat="1" ht="13.5" customHeight="1">
      <c r="A316" s="5726"/>
      <c r="B316" s="5713"/>
      <c r="C316" s="5714"/>
      <c r="D316" s="5714" t="s">
        <v>11787</v>
      </c>
      <c r="E316" s="5714"/>
      <c r="F316" s="5619"/>
      <c r="G316" s="5724"/>
      <c r="H316" s="6003"/>
      <c r="I316" s="5757"/>
      <c r="J316" s="5736"/>
      <c r="K316" s="1618"/>
      <c r="L316" s="808"/>
      <c r="M316" s="808"/>
      <c r="N316" s="808"/>
      <c r="O316" s="808"/>
      <c r="P316" s="808"/>
      <c r="Q316" s="808"/>
      <c r="R316" s="772"/>
      <c r="S316" s="718"/>
    </row>
    <row r="317" spans="1:19" s="333" customFormat="1" ht="27" customHeight="1">
      <c r="A317" s="5712">
        <v>67</v>
      </c>
      <c r="B317" s="5713" t="s">
        <v>4103</v>
      </c>
      <c r="C317" s="5714" t="s">
        <v>11953</v>
      </c>
      <c r="D317" s="5715" t="s">
        <v>11954</v>
      </c>
      <c r="E317" s="5716" t="s">
        <v>155</v>
      </c>
      <c r="F317" s="5717">
        <f>SUM(F319)</f>
        <v>1</v>
      </c>
      <c r="G317" s="5718"/>
      <c r="H317" s="6002">
        <f>F317*G317</f>
        <v>0</v>
      </c>
      <c r="I317" s="5719" t="s">
        <v>60</v>
      </c>
      <c r="J317" s="5756"/>
      <c r="K317" s="1325"/>
    </row>
    <row r="318" spans="1:19" ht="27" customHeight="1">
      <c r="A318" s="5721"/>
      <c r="B318" s="5714"/>
      <c r="C318" s="5714"/>
      <c r="D318" s="5714" t="s">
        <v>11955</v>
      </c>
      <c r="E318" s="5714"/>
      <c r="F318" s="5723"/>
      <c r="G318" s="5724"/>
      <c r="H318" s="6003"/>
      <c r="I318" s="5724"/>
      <c r="J318" s="5756"/>
    </row>
    <row r="319" spans="1:19" s="660" customFormat="1" ht="13.5" customHeight="1">
      <c r="A319" s="5726"/>
      <c r="B319" s="5713"/>
      <c r="C319" s="5714"/>
      <c r="D319" s="5714" t="s">
        <v>11804</v>
      </c>
      <c r="E319" s="5714"/>
      <c r="F319" s="5619">
        <v>1</v>
      </c>
      <c r="G319" s="5724"/>
      <c r="H319" s="6003"/>
      <c r="I319" s="5724"/>
      <c r="J319" s="5736"/>
      <c r="K319" s="1618"/>
      <c r="L319" s="808"/>
      <c r="M319" s="808"/>
      <c r="N319" s="808"/>
      <c r="O319" s="808"/>
      <c r="P319" s="808"/>
      <c r="Q319" s="808"/>
      <c r="R319" s="772"/>
      <c r="S319" s="718"/>
    </row>
    <row r="320" spans="1:19" s="660" customFormat="1" ht="13.5" customHeight="1">
      <c r="A320" s="5726"/>
      <c r="B320" s="5713"/>
      <c r="C320" s="5714"/>
      <c r="D320" s="5714" t="s">
        <v>11787</v>
      </c>
      <c r="E320" s="5714"/>
      <c r="F320" s="5619"/>
      <c r="G320" s="5724"/>
      <c r="H320" s="6003"/>
      <c r="I320" s="5757"/>
      <c r="J320" s="5736"/>
      <c r="K320" s="1618"/>
      <c r="L320" s="808"/>
      <c r="M320" s="808"/>
      <c r="N320" s="808"/>
      <c r="O320" s="808"/>
      <c r="P320" s="808"/>
      <c r="Q320" s="808"/>
      <c r="R320" s="772"/>
      <c r="S320" s="718"/>
    </row>
    <row r="321" spans="1:19" s="333" customFormat="1" ht="27" customHeight="1">
      <c r="A321" s="5712">
        <v>68</v>
      </c>
      <c r="B321" s="5713" t="s">
        <v>4103</v>
      </c>
      <c r="C321" s="5714" t="s">
        <v>11956</v>
      </c>
      <c r="D321" s="5715" t="s">
        <v>11957</v>
      </c>
      <c r="E321" s="5716" t="s">
        <v>155</v>
      </c>
      <c r="F321" s="5717">
        <f>SUM(F323)</f>
        <v>1</v>
      </c>
      <c r="G321" s="5718"/>
      <c r="H321" s="6002">
        <f>F321*G321</f>
        <v>0</v>
      </c>
      <c r="I321" s="5719" t="s">
        <v>60</v>
      </c>
      <c r="J321" s="5756"/>
      <c r="K321" s="1325"/>
    </row>
    <row r="322" spans="1:19" ht="27" customHeight="1">
      <c r="A322" s="5721"/>
      <c r="B322" s="5714"/>
      <c r="C322" s="5714"/>
      <c r="D322" s="5714" t="s">
        <v>11955</v>
      </c>
      <c r="E322" s="5714"/>
      <c r="F322" s="5723"/>
      <c r="G322" s="5724"/>
      <c r="H322" s="6003"/>
      <c r="I322" s="5724"/>
      <c r="J322" s="5756"/>
    </row>
    <row r="323" spans="1:19" s="660" customFormat="1" ht="13.5" customHeight="1">
      <c r="A323" s="5726"/>
      <c r="B323" s="5713"/>
      <c r="C323" s="5714"/>
      <c r="D323" s="5714" t="s">
        <v>11804</v>
      </c>
      <c r="E323" s="5714"/>
      <c r="F323" s="5619">
        <v>1</v>
      </c>
      <c r="G323" s="5724"/>
      <c r="H323" s="6003"/>
      <c r="I323" s="5724"/>
      <c r="J323" s="5736"/>
      <c r="K323" s="1618"/>
      <c r="L323" s="808"/>
      <c r="M323" s="808"/>
      <c r="N323" s="808"/>
      <c r="O323" s="808"/>
      <c r="P323" s="808"/>
      <c r="Q323" s="808"/>
      <c r="R323" s="772"/>
      <c r="S323" s="718"/>
    </row>
    <row r="324" spans="1:19" s="660" customFormat="1" ht="13.5" customHeight="1">
      <c r="A324" s="5726"/>
      <c r="B324" s="5713"/>
      <c r="C324" s="5714"/>
      <c r="D324" s="5714" t="s">
        <v>11787</v>
      </c>
      <c r="E324" s="5714"/>
      <c r="F324" s="5619"/>
      <c r="G324" s="5724"/>
      <c r="H324" s="6003"/>
      <c r="I324" s="5757"/>
      <c r="J324" s="5736"/>
      <c r="K324" s="1618"/>
      <c r="L324" s="808"/>
      <c r="M324" s="808"/>
      <c r="N324" s="808"/>
      <c r="O324" s="808"/>
      <c r="P324" s="808"/>
      <c r="Q324" s="808"/>
      <c r="R324" s="772"/>
      <c r="S324" s="718"/>
    </row>
    <row r="325" spans="1:19" s="333" customFormat="1" ht="27" customHeight="1">
      <c r="A325" s="5712">
        <v>69</v>
      </c>
      <c r="B325" s="5713" t="s">
        <v>4103</v>
      </c>
      <c r="C325" s="5714" t="s">
        <v>11958</v>
      </c>
      <c r="D325" s="5715" t="s">
        <v>11959</v>
      </c>
      <c r="E325" s="5716" t="s">
        <v>155</v>
      </c>
      <c r="F325" s="5717">
        <f>SUM(F327)</f>
        <v>1</v>
      </c>
      <c r="G325" s="5718"/>
      <c r="H325" s="6002">
        <f>F325*G325</f>
        <v>0</v>
      </c>
      <c r="I325" s="5719" t="s">
        <v>60</v>
      </c>
      <c r="J325" s="5756"/>
      <c r="K325" s="1325"/>
    </row>
    <row r="326" spans="1:19" ht="27" customHeight="1">
      <c r="A326" s="5721"/>
      <c r="B326" s="5714"/>
      <c r="C326" s="5714"/>
      <c r="D326" s="5714" t="s">
        <v>11940</v>
      </c>
      <c r="E326" s="5714"/>
      <c r="F326" s="5723"/>
      <c r="G326" s="5724"/>
      <c r="H326" s="6003"/>
      <c r="I326" s="5724"/>
      <c r="J326" s="5756"/>
    </row>
    <row r="327" spans="1:19" s="660" customFormat="1" ht="13.5" customHeight="1">
      <c r="A327" s="5726"/>
      <c r="B327" s="5713"/>
      <c r="C327" s="5714"/>
      <c r="D327" s="5714" t="s">
        <v>11804</v>
      </c>
      <c r="E327" s="5714"/>
      <c r="F327" s="5619">
        <v>1</v>
      </c>
      <c r="G327" s="5724"/>
      <c r="H327" s="6003"/>
      <c r="I327" s="5724"/>
      <c r="J327" s="5736"/>
      <c r="K327" s="1618"/>
      <c r="L327" s="808"/>
      <c r="M327" s="808"/>
      <c r="N327" s="808"/>
      <c r="O327" s="808"/>
      <c r="P327" s="808"/>
      <c r="Q327" s="808"/>
      <c r="R327" s="772"/>
      <c r="S327" s="718"/>
    </row>
    <row r="328" spans="1:19" s="660" customFormat="1" ht="13.5" customHeight="1">
      <c r="A328" s="5726"/>
      <c r="B328" s="5713"/>
      <c r="C328" s="5714"/>
      <c r="D328" s="5714" t="s">
        <v>11787</v>
      </c>
      <c r="E328" s="5714"/>
      <c r="F328" s="5619"/>
      <c r="G328" s="5724"/>
      <c r="H328" s="6003"/>
      <c r="I328" s="5757"/>
      <c r="J328" s="5736"/>
      <c r="K328" s="1618"/>
      <c r="L328" s="808"/>
      <c r="M328" s="808"/>
      <c r="N328" s="808"/>
      <c r="O328" s="808"/>
      <c r="P328" s="808"/>
      <c r="Q328" s="808"/>
      <c r="R328" s="772"/>
      <c r="S328" s="718"/>
    </row>
    <row r="329" spans="1:19" s="333" customFormat="1" ht="27" customHeight="1">
      <c r="A329" s="5712">
        <v>70</v>
      </c>
      <c r="B329" s="5713" t="s">
        <v>4103</v>
      </c>
      <c r="C329" s="5714" t="s">
        <v>11960</v>
      </c>
      <c r="D329" s="5715" t="s">
        <v>11961</v>
      </c>
      <c r="E329" s="5716" t="s">
        <v>155</v>
      </c>
      <c r="F329" s="5717">
        <f>SUM(F331)</f>
        <v>1</v>
      </c>
      <c r="G329" s="5718"/>
      <c r="H329" s="6002">
        <f>F329*G329</f>
        <v>0</v>
      </c>
      <c r="I329" s="5719" t="s">
        <v>60</v>
      </c>
      <c r="J329" s="5756"/>
      <c r="K329" s="1325"/>
    </row>
    <row r="330" spans="1:19" ht="27" customHeight="1">
      <c r="A330" s="5721"/>
      <c r="B330" s="5714"/>
      <c r="C330" s="5714"/>
      <c r="D330" s="5714" t="s">
        <v>11940</v>
      </c>
      <c r="E330" s="5714"/>
      <c r="F330" s="5723"/>
      <c r="G330" s="5724"/>
      <c r="H330" s="6003"/>
      <c r="I330" s="5724"/>
      <c r="J330" s="5756"/>
    </row>
    <row r="331" spans="1:19" s="660" customFormat="1" ht="13.5" customHeight="1">
      <c r="A331" s="5726"/>
      <c r="B331" s="5713"/>
      <c r="C331" s="5714"/>
      <c r="D331" s="5714" t="s">
        <v>11804</v>
      </c>
      <c r="E331" s="5714"/>
      <c r="F331" s="5619">
        <v>1</v>
      </c>
      <c r="G331" s="5724"/>
      <c r="H331" s="6003"/>
      <c r="I331" s="5724"/>
      <c r="J331" s="5736"/>
      <c r="K331" s="1618"/>
      <c r="L331" s="808"/>
      <c r="M331" s="808"/>
      <c r="N331" s="808"/>
      <c r="O331" s="808"/>
      <c r="P331" s="808"/>
      <c r="Q331" s="808"/>
      <c r="R331" s="772"/>
      <c r="S331" s="718"/>
    </row>
    <row r="332" spans="1:19" s="660" customFormat="1" ht="13.5" customHeight="1">
      <c r="A332" s="5726"/>
      <c r="B332" s="5713"/>
      <c r="C332" s="5714"/>
      <c r="D332" s="5714" t="s">
        <v>11787</v>
      </c>
      <c r="E332" s="5714"/>
      <c r="F332" s="5619"/>
      <c r="G332" s="5724"/>
      <c r="H332" s="6003"/>
      <c r="I332" s="5757"/>
      <c r="J332" s="5736"/>
      <c r="K332" s="1618"/>
      <c r="L332" s="808"/>
      <c r="M332" s="808"/>
      <c r="N332" s="808"/>
      <c r="O332" s="808"/>
      <c r="P332" s="808"/>
      <c r="Q332" s="808"/>
      <c r="R332" s="772"/>
      <c r="S332" s="718"/>
    </row>
    <row r="333" spans="1:19" s="333" customFormat="1" ht="27" customHeight="1">
      <c r="A333" s="5712">
        <v>71</v>
      </c>
      <c r="B333" s="5713" t="s">
        <v>4103</v>
      </c>
      <c r="C333" s="5714" t="s">
        <v>11962</v>
      </c>
      <c r="D333" s="5715" t="s">
        <v>11963</v>
      </c>
      <c r="E333" s="5716" t="s">
        <v>155</v>
      </c>
      <c r="F333" s="5717">
        <f>SUM(F335)</f>
        <v>1</v>
      </c>
      <c r="G333" s="5718"/>
      <c r="H333" s="6002">
        <f>F333*G333</f>
        <v>0</v>
      </c>
      <c r="I333" s="5719" t="s">
        <v>60</v>
      </c>
      <c r="J333" s="5756"/>
      <c r="K333" s="1325"/>
    </row>
    <row r="334" spans="1:19" ht="27" customHeight="1">
      <c r="A334" s="5721"/>
      <c r="B334" s="5714"/>
      <c r="C334" s="5714"/>
      <c r="D334" s="5714" t="s">
        <v>11940</v>
      </c>
      <c r="E334" s="5714"/>
      <c r="F334" s="5723"/>
      <c r="G334" s="5724"/>
      <c r="H334" s="6003"/>
      <c r="I334" s="5724"/>
      <c r="J334" s="5756"/>
    </row>
    <row r="335" spans="1:19" s="660" customFormat="1" ht="13.5" customHeight="1">
      <c r="A335" s="5726"/>
      <c r="B335" s="5713"/>
      <c r="C335" s="5714"/>
      <c r="D335" s="5714" t="s">
        <v>11804</v>
      </c>
      <c r="E335" s="5714"/>
      <c r="F335" s="5619">
        <v>1</v>
      </c>
      <c r="G335" s="5724"/>
      <c r="H335" s="6003"/>
      <c r="I335" s="5724"/>
      <c r="J335" s="5736"/>
      <c r="K335" s="1618"/>
      <c r="L335" s="808"/>
      <c r="M335" s="808"/>
      <c r="N335" s="808"/>
      <c r="O335" s="808"/>
      <c r="P335" s="808"/>
      <c r="Q335" s="808"/>
      <c r="R335" s="772"/>
      <c r="S335" s="718"/>
    </row>
    <row r="336" spans="1:19" s="660" customFormat="1" ht="13.5" customHeight="1">
      <c r="A336" s="5726"/>
      <c r="B336" s="5713"/>
      <c r="C336" s="5714"/>
      <c r="D336" s="5714" t="s">
        <v>11787</v>
      </c>
      <c r="E336" s="5714"/>
      <c r="F336" s="5619"/>
      <c r="G336" s="5724"/>
      <c r="H336" s="6003"/>
      <c r="I336" s="5757"/>
      <c r="J336" s="5736"/>
      <c r="K336" s="1618"/>
      <c r="L336" s="808"/>
      <c r="M336" s="808"/>
      <c r="N336" s="808"/>
      <c r="O336" s="808"/>
      <c r="P336" s="808"/>
      <c r="Q336" s="808"/>
      <c r="R336" s="772"/>
      <c r="S336" s="718"/>
    </row>
    <row r="337" spans="1:19" s="333" customFormat="1" ht="27" customHeight="1">
      <c r="A337" s="5712">
        <v>72</v>
      </c>
      <c r="B337" s="5713" t="s">
        <v>4103</v>
      </c>
      <c r="C337" s="5714" t="s">
        <v>11964</v>
      </c>
      <c r="D337" s="5715" t="s">
        <v>11965</v>
      </c>
      <c r="E337" s="5716" t="s">
        <v>155</v>
      </c>
      <c r="F337" s="5717">
        <f>SUM(F339)</f>
        <v>1</v>
      </c>
      <c r="G337" s="5718"/>
      <c r="H337" s="6002">
        <f>F337*G337</f>
        <v>0</v>
      </c>
      <c r="I337" s="5719" t="s">
        <v>60</v>
      </c>
      <c r="J337" s="5756"/>
      <c r="K337" s="1325"/>
    </row>
    <row r="338" spans="1:19" ht="27" customHeight="1">
      <c r="A338" s="5721"/>
      <c r="B338" s="5714"/>
      <c r="C338" s="5714"/>
      <c r="D338" s="5714" t="s">
        <v>11966</v>
      </c>
      <c r="E338" s="5714"/>
      <c r="F338" s="5723"/>
      <c r="G338" s="5724"/>
      <c r="H338" s="6003"/>
      <c r="I338" s="5724"/>
      <c r="J338" s="5756"/>
    </row>
    <row r="339" spans="1:19" s="660" customFormat="1" ht="13.5" customHeight="1">
      <c r="A339" s="5726"/>
      <c r="B339" s="5713"/>
      <c r="C339" s="5714"/>
      <c r="D339" s="5714" t="s">
        <v>11804</v>
      </c>
      <c r="E339" s="5714"/>
      <c r="F339" s="5619">
        <v>1</v>
      </c>
      <c r="G339" s="5724"/>
      <c r="H339" s="6003"/>
      <c r="I339" s="5724"/>
      <c r="J339" s="5736"/>
      <c r="K339" s="1618"/>
      <c r="L339" s="808"/>
      <c r="M339" s="808"/>
      <c r="N339" s="808"/>
      <c r="O339" s="808"/>
      <c r="P339" s="808"/>
      <c r="Q339" s="808"/>
      <c r="R339" s="772"/>
      <c r="S339" s="718"/>
    </row>
    <row r="340" spans="1:19" s="660" customFormat="1" ht="13.5" customHeight="1">
      <c r="A340" s="5726"/>
      <c r="B340" s="5713"/>
      <c r="C340" s="5714"/>
      <c r="D340" s="5714" t="s">
        <v>11787</v>
      </c>
      <c r="E340" s="5714"/>
      <c r="F340" s="5619"/>
      <c r="G340" s="5724"/>
      <c r="H340" s="6003"/>
      <c r="I340" s="5757"/>
      <c r="J340" s="5736"/>
      <c r="K340" s="1618"/>
      <c r="L340" s="808"/>
      <c r="M340" s="808"/>
      <c r="N340" s="808"/>
      <c r="O340" s="808"/>
      <c r="P340" s="808"/>
      <c r="Q340" s="808"/>
      <c r="R340" s="772"/>
      <c r="S340" s="718"/>
    </row>
    <row r="341" spans="1:19" s="333" customFormat="1" ht="27" customHeight="1">
      <c r="A341" s="5712">
        <v>73</v>
      </c>
      <c r="B341" s="5713" t="s">
        <v>4103</v>
      </c>
      <c r="C341" s="5714" t="s">
        <v>11967</v>
      </c>
      <c r="D341" s="5715" t="s">
        <v>11968</v>
      </c>
      <c r="E341" s="5716" t="s">
        <v>155</v>
      </c>
      <c r="F341" s="5717">
        <f>SUM(F343)</f>
        <v>1</v>
      </c>
      <c r="G341" s="5718"/>
      <c r="H341" s="6002">
        <f>F341*G341</f>
        <v>0</v>
      </c>
      <c r="I341" s="5719" t="s">
        <v>60</v>
      </c>
      <c r="J341" s="5756"/>
      <c r="K341" s="1325"/>
    </row>
    <row r="342" spans="1:19" ht="27" customHeight="1">
      <c r="A342" s="5721"/>
      <c r="B342" s="5714"/>
      <c r="C342" s="5714"/>
      <c r="D342" s="5714" t="s">
        <v>11908</v>
      </c>
      <c r="E342" s="5714"/>
      <c r="F342" s="5723"/>
      <c r="G342" s="5724"/>
      <c r="H342" s="6003"/>
      <c r="I342" s="5724"/>
      <c r="J342" s="5756"/>
    </row>
    <row r="343" spans="1:19" s="660" customFormat="1" ht="13.5" customHeight="1">
      <c r="A343" s="5726"/>
      <c r="B343" s="5713"/>
      <c r="C343" s="5714"/>
      <c r="D343" s="5714" t="s">
        <v>11804</v>
      </c>
      <c r="E343" s="5714"/>
      <c r="F343" s="5619">
        <v>1</v>
      </c>
      <c r="G343" s="5724"/>
      <c r="H343" s="6003"/>
      <c r="I343" s="5724"/>
      <c r="J343" s="5736"/>
      <c r="K343" s="1618"/>
      <c r="L343" s="808"/>
      <c r="M343" s="808"/>
      <c r="N343" s="808"/>
      <c r="O343" s="808"/>
      <c r="P343" s="808"/>
      <c r="Q343" s="808"/>
      <c r="R343" s="772"/>
      <c r="S343" s="718"/>
    </row>
    <row r="344" spans="1:19" s="660" customFormat="1" ht="13.5" customHeight="1">
      <c r="A344" s="5726"/>
      <c r="B344" s="5713"/>
      <c r="C344" s="5714"/>
      <c r="D344" s="5714" t="s">
        <v>11787</v>
      </c>
      <c r="E344" s="5714"/>
      <c r="F344" s="5619"/>
      <c r="G344" s="5724"/>
      <c r="H344" s="6003"/>
      <c r="I344" s="5757"/>
      <c r="J344" s="5736"/>
      <c r="K344" s="1618"/>
      <c r="L344" s="808"/>
      <c r="M344" s="808"/>
      <c r="N344" s="808"/>
      <c r="O344" s="808"/>
      <c r="P344" s="808"/>
      <c r="Q344" s="808"/>
      <c r="R344" s="772"/>
      <c r="S344" s="718"/>
    </row>
    <row r="345" spans="1:19" s="333" customFormat="1" ht="27" customHeight="1">
      <c r="A345" s="5712">
        <v>74</v>
      </c>
      <c r="B345" s="5713" t="s">
        <v>4103</v>
      </c>
      <c r="C345" s="5714" t="s">
        <v>11969</v>
      </c>
      <c r="D345" s="5715" t="s">
        <v>11970</v>
      </c>
      <c r="E345" s="5716" t="s">
        <v>155</v>
      </c>
      <c r="F345" s="5717">
        <f>SUM(F347)</f>
        <v>1</v>
      </c>
      <c r="G345" s="5718"/>
      <c r="H345" s="6002">
        <f>F345*G345</f>
        <v>0</v>
      </c>
      <c r="I345" s="5719" t="s">
        <v>60</v>
      </c>
      <c r="J345" s="5756"/>
      <c r="K345" s="1325"/>
    </row>
    <row r="346" spans="1:19" ht="27" customHeight="1">
      <c r="A346" s="5721"/>
      <c r="B346" s="5714"/>
      <c r="C346" s="5714"/>
      <c r="D346" s="5714" t="s">
        <v>11971</v>
      </c>
      <c r="E346" s="5714"/>
      <c r="F346" s="5723"/>
      <c r="G346" s="5724"/>
      <c r="H346" s="6003"/>
      <c r="I346" s="5724"/>
      <c r="J346" s="5756"/>
    </row>
    <row r="347" spans="1:19" s="660" customFormat="1" ht="13.5" customHeight="1">
      <c r="A347" s="5726"/>
      <c r="B347" s="5713"/>
      <c r="C347" s="5714"/>
      <c r="D347" s="5714" t="s">
        <v>11804</v>
      </c>
      <c r="E347" s="5714"/>
      <c r="F347" s="5619">
        <v>1</v>
      </c>
      <c r="G347" s="5724"/>
      <c r="H347" s="6003"/>
      <c r="I347" s="5724"/>
      <c r="J347" s="5736"/>
      <c r="K347" s="1618"/>
      <c r="L347" s="808"/>
      <c r="M347" s="808"/>
      <c r="N347" s="808"/>
      <c r="O347" s="808"/>
      <c r="P347" s="808"/>
      <c r="Q347" s="808"/>
      <c r="R347" s="772"/>
      <c r="S347" s="718"/>
    </row>
    <row r="348" spans="1:19" s="660" customFormat="1" ht="13.5" customHeight="1">
      <c r="A348" s="5726"/>
      <c r="B348" s="5713"/>
      <c r="C348" s="5714"/>
      <c r="D348" s="5714" t="s">
        <v>11787</v>
      </c>
      <c r="E348" s="5714"/>
      <c r="F348" s="5619"/>
      <c r="G348" s="5724"/>
      <c r="H348" s="6003"/>
      <c r="I348" s="5757"/>
      <c r="J348" s="5736"/>
      <c r="K348" s="1618"/>
      <c r="L348" s="808"/>
      <c r="M348" s="808"/>
      <c r="N348" s="808"/>
      <c r="O348" s="808"/>
      <c r="P348" s="808"/>
      <c r="Q348" s="808"/>
      <c r="R348" s="772"/>
      <c r="S348" s="718"/>
    </row>
    <row r="349" spans="1:19" s="333" customFormat="1" ht="27" customHeight="1">
      <c r="A349" s="5712">
        <v>75</v>
      </c>
      <c r="B349" s="5713" t="s">
        <v>4103</v>
      </c>
      <c r="C349" s="5714" t="s">
        <v>11972</v>
      </c>
      <c r="D349" s="5715" t="s">
        <v>11973</v>
      </c>
      <c r="E349" s="5716" t="s">
        <v>155</v>
      </c>
      <c r="F349" s="5717">
        <f>SUM(F351)</f>
        <v>1</v>
      </c>
      <c r="G349" s="5718"/>
      <c r="H349" s="6002">
        <f>F349*G349</f>
        <v>0</v>
      </c>
      <c r="I349" s="5719" t="s">
        <v>60</v>
      </c>
      <c r="J349" s="5756"/>
      <c r="K349" s="1325"/>
    </row>
    <row r="350" spans="1:19" ht="27" customHeight="1">
      <c r="A350" s="5721"/>
      <c r="B350" s="5714"/>
      <c r="C350" s="5714"/>
      <c r="D350" s="5714" t="s">
        <v>11955</v>
      </c>
      <c r="E350" s="5714"/>
      <c r="F350" s="5723"/>
      <c r="G350" s="5724"/>
      <c r="H350" s="6003"/>
      <c r="I350" s="5724"/>
      <c r="J350" s="5756"/>
    </row>
    <row r="351" spans="1:19" s="660" customFormat="1" ht="13.5" customHeight="1">
      <c r="A351" s="5726"/>
      <c r="B351" s="5713"/>
      <c r="C351" s="5714"/>
      <c r="D351" s="5714" t="s">
        <v>11804</v>
      </c>
      <c r="E351" s="5714"/>
      <c r="F351" s="5619">
        <v>1</v>
      </c>
      <c r="G351" s="5724"/>
      <c r="H351" s="6003"/>
      <c r="I351" s="5724"/>
      <c r="J351" s="5736"/>
      <c r="K351" s="1618"/>
      <c r="L351" s="808"/>
      <c r="M351" s="808"/>
      <c r="N351" s="808"/>
      <c r="O351" s="808"/>
      <c r="P351" s="808"/>
      <c r="Q351" s="808"/>
      <c r="R351" s="772"/>
      <c r="S351" s="718"/>
    </row>
    <row r="352" spans="1:19" s="660" customFormat="1" ht="13.5" customHeight="1">
      <c r="A352" s="5726"/>
      <c r="B352" s="5713"/>
      <c r="C352" s="5714"/>
      <c r="D352" s="5714" t="s">
        <v>11787</v>
      </c>
      <c r="E352" s="5714"/>
      <c r="F352" s="5619"/>
      <c r="G352" s="5724"/>
      <c r="H352" s="6003"/>
      <c r="I352" s="5757"/>
      <c r="J352" s="5736"/>
      <c r="K352" s="1618"/>
      <c r="L352" s="808"/>
      <c r="M352" s="808"/>
      <c r="N352" s="808"/>
      <c r="O352" s="808"/>
      <c r="P352" s="808"/>
      <c r="Q352" s="808"/>
      <c r="R352" s="772"/>
      <c r="S352" s="718"/>
    </row>
    <row r="353" spans="1:19" s="333" customFormat="1" ht="27" customHeight="1">
      <c r="A353" s="5712">
        <v>76</v>
      </c>
      <c r="B353" s="5713" t="s">
        <v>4103</v>
      </c>
      <c r="C353" s="5714" t="s">
        <v>11974</v>
      </c>
      <c r="D353" s="5715" t="s">
        <v>11975</v>
      </c>
      <c r="E353" s="5716" t="s">
        <v>155</v>
      </c>
      <c r="F353" s="5717">
        <f>SUM(F355)</f>
        <v>1</v>
      </c>
      <c r="G353" s="5718"/>
      <c r="H353" s="6002">
        <f>F353*G353</f>
        <v>0</v>
      </c>
      <c r="I353" s="5719" t="s">
        <v>60</v>
      </c>
      <c r="J353" s="5756"/>
      <c r="K353" s="1325"/>
    </row>
    <row r="354" spans="1:19" ht="27" customHeight="1">
      <c r="A354" s="5721"/>
      <c r="B354" s="5714"/>
      <c r="C354" s="5714"/>
      <c r="D354" s="5714" t="s">
        <v>11933</v>
      </c>
      <c r="E354" s="5714"/>
      <c r="F354" s="5723"/>
      <c r="G354" s="5724"/>
      <c r="H354" s="6003"/>
      <c r="I354" s="5724"/>
      <c r="J354" s="5756"/>
    </row>
    <row r="355" spans="1:19" s="660" customFormat="1" ht="13.5" customHeight="1">
      <c r="A355" s="5726"/>
      <c r="B355" s="5713"/>
      <c r="C355" s="5714"/>
      <c r="D355" s="5714" t="s">
        <v>11785</v>
      </c>
      <c r="E355" s="5714"/>
      <c r="F355" s="5619">
        <v>1</v>
      </c>
      <c r="G355" s="5724"/>
      <c r="H355" s="6003"/>
      <c r="I355" s="5724"/>
      <c r="J355" s="5736"/>
      <c r="K355" s="1618"/>
      <c r="L355" s="808"/>
      <c r="M355" s="808"/>
      <c r="N355" s="808"/>
      <c r="O355" s="808"/>
      <c r="P355" s="808"/>
      <c r="Q355" s="808"/>
      <c r="R355" s="772"/>
      <c r="S355" s="718"/>
    </row>
    <row r="356" spans="1:19" s="660" customFormat="1" ht="13.5" customHeight="1">
      <c r="A356" s="5726"/>
      <c r="B356" s="5713"/>
      <c r="C356" s="5714"/>
      <c r="D356" s="5714" t="s">
        <v>11787</v>
      </c>
      <c r="E356" s="5714"/>
      <c r="F356" s="5619"/>
      <c r="G356" s="5724"/>
      <c r="H356" s="6003"/>
      <c r="I356" s="5757"/>
      <c r="J356" s="5736"/>
      <c r="K356" s="1618"/>
      <c r="L356" s="808"/>
      <c r="M356" s="808"/>
      <c r="N356" s="808"/>
      <c r="O356" s="808"/>
      <c r="P356" s="808"/>
      <c r="Q356" s="808"/>
      <c r="R356" s="772"/>
      <c r="S356" s="718"/>
    </row>
    <row r="357" spans="1:19" s="333" customFormat="1" ht="27" customHeight="1">
      <c r="A357" s="5712">
        <v>77</v>
      </c>
      <c r="B357" s="5713" t="s">
        <v>4103</v>
      </c>
      <c r="C357" s="5714" t="s">
        <v>11976</v>
      </c>
      <c r="D357" s="5715" t="s">
        <v>11977</v>
      </c>
      <c r="E357" s="5716" t="s">
        <v>155</v>
      </c>
      <c r="F357" s="5717">
        <f>SUM(F359)</f>
        <v>1</v>
      </c>
      <c r="G357" s="5718"/>
      <c r="H357" s="6002">
        <f>F357*G357</f>
        <v>0</v>
      </c>
      <c r="I357" s="5719" t="s">
        <v>60</v>
      </c>
      <c r="J357" s="5756"/>
      <c r="K357" s="1325"/>
    </row>
    <row r="358" spans="1:19" ht="27" customHeight="1">
      <c r="A358" s="5721"/>
      <c r="B358" s="5714"/>
      <c r="C358" s="5714"/>
      <c r="D358" s="5714" t="s">
        <v>11933</v>
      </c>
      <c r="E358" s="5714"/>
      <c r="F358" s="5723"/>
      <c r="G358" s="5724"/>
      <c r="H358" s="6003"/>
      <c r="I358" s="5724"/>
      <c r="J358" s="5756"/>
    </row>
    <row r="359" spans="1:19" s="660" customFormat="1" ht="13.5" customHeight="1">
      <c r="A359" s="5726"/>
      <c r="B359" s="5713"/>
      <c r="C359" s="5714"/>
      <c r="D359" s="5714" t="s">
        <v>11785</v>
      </c>
      <c r="E359" s="5714"/>
      <c r="F359" s="5619">
        <v>1</v>
      </c>
      <c r="G359" s="5724"/>
      <c r="H359" s="6003"/>
      <c r="I359" s="5724"/>
      <c r="J359" s="5736"/>
      <c r="K359" s="1618"/>
      <c r="L359" s="808"/>
      <c r="M359" s="808"/>
      <c r="N359" s="808"/>
      <c r="O359" s="808"/>
      <c r="P359" s="808"/>
      <c r="Q359" s="808"/>
      <c r="R359" s="772"/>
      <c r="S359" s="718"/>
    </row>
    <row r="360" spans="1:19" s="660" customFormat="1" ht="13.5" customHeight="1">
      <c r="A360" s="5726"/>
      <c r="B360" s="5713"/>
      <c r="C360" s="5714"/>
      <c r="D360" s="5714" t="s">
        <v>11787</v>
      </c>
      <c r="E360" s="5714"/>
      <c r="F360" s="5619"/>
      <c r="G360" s="5724"/>
      <c r="H360" s="6003"/>
      <c r="I360" s="5757"/>
      <c r="J360" s="5736"/>
      <c r="K360" s="1618"/>
      <c r="L360" s="808"/>
      <c r="M360" s="808"/>
      <c r="N360" s="808"/>
      <c r="O360" s="808"/>
      <c r="P360" s="808"/>
      <c r="Q360" s="808"/>
      <c r="R360" s="772"/>
      <c r="S360" s="718"/>
    </row>
    <row r="361" spans="1:19" s="333" customFormat="1" ht="27" customHeight="1">
      <c r="A361" s="5712">
        <v>78</v>
      </c>
      <c r="B361" s="5713" t="s">
        <v>4103</v>
      </c>
      <c r="C361" s="5714" t="s">
        <v>11978</v>
      </c>
      <c r="D361" s="5715" t="s">
        <v>11979</v>
      </c>
      <c r="E361" s="5716" t="s">
        <v>155</v>
      </c>
      <c r="F361" s="5717">
        <f>SUM(F363)</f>
        <v>1</v>
      </c>
      <c r="G361" s="5718"/>
      <c r="H361" s="6002">
        <f>F361*G361</f>
        <v>0</v>
      </c>
      <c r="I361" s="5719" t="s">
        <v>60</v>
      </c>
      <c r="J361" s="5756"/>
      <c r="K361" s="1325"/>
    </row>
    <row r="362" spans="1:19" ht="27" customHeight="1">
      <c r="A362" s="5721"/>
      <c r="B362" s="5714"/>
      <c r="C362" s="5714"/>
      <c r="D362" s="5714" t="s">
        <v>11933</v>
      </c>
      <c r="E362" s="5714"/>
      <c r="F362" s="5723"/>
      <c r="G362" s="5724"/>
      <c r="H362" s="6003"/>
      <c r="I362" s="5724"/>
      <c r="J362" s="5756"/>
    </row>
    <row r="363" spans="1:19" s="660" customFormat="1" ht="13.5" customHeight="1">
      <c r="A363" s="5726"/>
      <c r="B363" s="5713"/>
      <c r="C363" s="5714"/>
      <c r="D363" s="5714" t="s">
        <v>11785</v>
      </c>
      <c r="E363" s="5714"/>
      <c r="F363" s="5619">
        <v>1</v>
      </c>
      <c r="G363" s="5724"/>
      <c r="H363" s="6003"/>
      <c r="I363" s="5724"/>
      <c r="J363" s="5736"/>
      <c r="K363" s="1618"/>
      <c r="L363" s="808"/>
      <c r="M363" s="808"/>
      <c r="N363" s="808"/>
      <c r="O363" s="808"/>
      <c r="P363" s="808"/>
      <c r="Q363" s="808"/>
      <c r="R363" s="772"/>
      <c r="S363" s="718"/>
    </row>
    <row r="364" spans="1:19" s="660" customFormat="1" ht="13.5" customHeight="1">
      <c r="A364" s="5726"/>
      <c r="B364" s="5713"/>
      <c r="C364" s="5714"/>
      <c r="D364" s="5714" t="s">
        <v>11787</v>
      </c>
      <c r="E364" s="5714"/>
      <c r="F364" s="5619"/>
      <c r="G364" s="5724"/>
      <c r="H364" s="6003"/>
      <c r="I364" s="5757"/>
      <c r="J364" s="5736"/>
      <c r="K364" s="1618"/>
      <c r="L364" s="808"/>
      <c r="M364" s="808"/>
      <c r="N364" s="808"/>
      <c r="O364" s="808"/>
      <c r="P364" s="808"/>
      <c r="Q364" s="808"/>
      <c r="R364" s="772"/>
      <c r="S364" s="718"/>
    </row>
    <row r="365" spans="1:19" s="333" customFormat="1" ht="27" customHeight="1">
      <c r="A365" s="5712">
        <v>79</v>
      </c>
      <c r="B365" s="5713" t="s">
        <v>4103</v>
      </c>
      <c r="C365" s="5714" t="s">
        <v>11980</v>
      </c>
      <c r="D365" s="5715" t="s">
        <v>11981</v>
      </c>
      <c r="E365" s="5716" t="s">
        <v>155</v>
      </c>
      <c r="F365" s="5717">
        <f>SUM(F367)</f>
        <v>1</v>
      </c>
      <c r="G365" s="5718"/>
      <c r="H365" s="6002">
        <f>F365*G365</f>
        <v>0</v>
      </c>
      <c r="I365" s="5719" t="s">
        <v>60</v>
      </c>
      <c r="J365" s="5756"/>
      <c r="K365" s="1325"/>
    </row>
    <row r="366" spans="1:19" ht="27" customHeight="1">
      <c r="A366" s="5721"/>
      <c r="B366" s="5714"/>
      <c r="C366" s="5714"/>
      <c r="D366" s="5714" t="s">
        <v>11966</v>
      </c>
      <c r="E366" s="5714"/>
      <c r="F366" s="5723"/>
      <c r="G366" s="5724"/>
      <c r="H366" s="6003"/>
      <c r="I366" s="5724"/>
      <c r="J366" s="5756"/>
    </row>
    <row r="367" spans="1:19" s="660" customFormat="1" ht="13.5" customHeight="1">
      <c r="A367" s="5726"/>
      <c r="B367" s="5713"/>
      <c r="C367" s="5714"/>
      <c r="D367" s="5714" t="s">
        <v>11785</v>
      </c>
      <c r="E367" s="5714"/>
      <c r="F367" s="5619">
        <v>1</v>
      </c>
      <c r="G367" s="5724"/>
      <c r="H367" s="6003"/>
      <c r="I367" s="5724"/>
      <c r="J367" s="5736"/>
      <c r="K367" s="1618"/>
      <c r="L367" s="808"/>
      <c r="M367" s="808"/>
      <c r="N367" s="808"/>
      <c r="O367" s="808"/>
      <c r="P367" s="808"/>
      <c r="Q367" s="808"/>
      <c r="R367" s="772"/>
      <c r="S367" s="718"/>
    </row>
    <row r="368" spans="1:19" s="660" customFormat="1" ht="13.5" customHeight="1">
      <c r="A368" s="5726"/>
      <c r="B368" s="5713"/>
      <c r="C368" s="5714"/>
      <c r="D368" s="5714" t="s">
        <v>11787</v>
      </c>
      <c r="E368" s="5714"/>
      <c r="F368" s="5619"/>
      <c r="G368" s="5724"/>
      <c r="H368" s="6003"/>
      <c r="I368" s="5757"/>
      <c r="J368" s="5736"/>
      <c r="K368" s="1618"/>
      <c r="L368" s="808"/>
      <c r="M368" s="808"/>
      <c r="N368" s="808"/>
      <c r="O368" s="808"/>
      <c r="P368" s="808"/>
      <c r="Q368" s="808"/>
      <c r="R368" s="772"/>
      <c r="S368" s="718"/>
    </row>
    <row r="369" spans="1:19" s="333" customFormat="1" ht="27" customHeight="1">
      <c r="A369" s="5712">
        <v>80</v>
      </c>
      <c r="B369" s="5713" t="s">
        <v>4103</v>
      </c>
      <c r="C369" s="5714" t="s">
        <v>11982</v>
      </c>
      <c r="D369" s="5715" t="s">
        <v>11983</v>
      </c>
      <c r="E369" s="5716" t="s">
        <v>155</v>
      </c>
      <c r="F369" s="5717">
        <f>SUM(F371)</f>
        <v>1</v>
      </c>
      <c r="G369" s="5718"/>
      <c r="H369" s="6002">
        <f>F369*G369</f>
        <v>0</v>
      </c>
      <c r="I369" s="5719" t="s">
        <v>60</v>
      </c>
      <c r="J369" s="5756"/>
      <c r="K369" s="1325"/>
    </row>
    <row r="370" spans="1:19" ht="27" customHeight="1">
      <c r="A370" s="5721"/>
      <c r="B370" s="5714"/>
      <c r="C370" s="5714"/>
      <c r="D370" s="5714" t="s">
        <v>11966</v>
      </c>
      <c r="E370" s="5714"/>
      <c r="F370" s="5723"/>
      <c r="G370" s="5724"/>
      <c r="H370" s="6003"/>
      <c r="I370" s="5724"/>
      <c r="J370" s="5756"/>
    </row>
    <row r="371" spans="1:19" s="660" customFormat="1" ht="13.5" customHeight="1">
      <c r="A371" s="5726"/>
      <c r="B371" s="5713"/>
      <c r="C371" s="5714"/>
      <c r="D371" s="5714" t="s">
        <v>11785</v>
      </c>
      <c r="E371" s="5714"/>
      <c r="F371" s="5619">
        <v>1</v>
      </c>
      <c r="G371" s="5724"/>
      <c r="H371" s="6003"/>
      <c r="I371" s="5724"/>
      <c r="J371" s="5736"/>
      <c r="K371" s="1618"/>
      <c r="L371" s="808"/>
      <c r="M371" s="808"/>
      <c r="N371" s="808"/>
      <c r="O371" s="808"/>
      <c r="P371" s="808"/>
      <c r="Q371" s="808"/>
      <c r="R371" s="772"/>
      <c r="S371" s="718"/>
    </row>
    <row r="372" spans="1:19" s="660" customFormat="1" ht="13.5" customHeight="1">
      <c r="A372" s="5726"/>
      <c r="B372" s="5713"/>
      <c r="C372" s="5714"/>
      <c r="D372" s="5714" t="s">
        <v>11787</v>
      </c>
      <c r="E372" s="5714"/>
      <c r="F372" s="5619"/>
      <c r="G372" s="5724"/>
      <c r="H372" s="6003"/>
      <c r="I372" s="5757"/>
      <c r="J372" s="5736"/>
      <c r="K372" s="1618"/>
      <c r="L372" s="808"/>
      <c r="M372" s="808"/>
      <c r="N372" s="808"/>
      <c r="O372" s="808"/>
      <c r="P372" s="808"/>
      <c r="Q372" s="808"/>
      <c r="R372" s="772"/>
      <c r="S372" s="718"/>
    </row>
    <row r="373" spans="1:19" s="333" customFormat="1" ht="27" customHeight="1">
      <c r="A373" s="5712">
        <v>81</v>
      </c>
      <c r="B373" s="5713" t="s">
        <v>4103</v>
      </c>
      <c r="C373" s="5714" t="s">
        <v>11984</v>
      </c>
      <c r="D373" s="5715" t="s">
        <v>11985</v>
      </c>
      <c r="E373" s="5716" t="s">
        <v>155</v>
      </c>
      <c r="F373" s="5717">
        <f>SUM(F375)</f>
        <v>1</v>
      </c>
      <c r="G373" s="5718"/>
      <c r="H373" s="6002">
        <f>F373*G373</f>
        <v>0</v>
      </c>
      <c r="I373" s="5719" t="s">
        <v>60</v>
      </c>
      <c r="J373" s="5756"/>
      <c r="K373" s="1325"/>
    </row>
    <row r="374" spans="1:19" ht="27" customHeight="1">
      <c r="A374" s="5721"/>
      <c r="B374" s="5714"/>
      <c r="C374" s="5714"/>
      <c r="D374" s="5714" t="s">
        <v>11933</v>
      </c>
      <c r="E374" s="5714"/>
      <c r="F374" s="5723"/>
      <c r="G374" s="5724"/>
      <c r="H374" s="6003"/>
      <c r="I374" s="5724"/>
      <c r="J374" s="5756"/>
    </row>
    <row r="375" spans="1:19" s="660" customFormat="1" ht="13.5" customHeight="1">
      <c r="A375" s="5726"/>
      <c r="B375" s="5713"/>
      <c r="C375" s="5714"/>
      <c r="D375" s="5714" t="s">
        <v>11785</v>
      </c>
      <c r="E375" s="5714"/>
      <c r="F375" s="5619">
        <v>1</v>
      </c>
      <c r="G375" s="5724"/>
      <c r="H375" s="6003"/>
      <c r="I375" s="5724"/>
      <c r="J375" s="5736"/>
      <c r="K375" s="1618"/>
      <c r="L375" s="808"/>
      <c r="M375" s="808"/>
      <c r="N375" s="808"/>
      <c r="O375" s="808"/>
      <c r="P375" s="808"/>
      <c r="Q375" s="808"/>
      <c r="R375" s="772"/>
      <c r="S375" s="718"/>
    </row>
    <row r="376" spans="1:19" s="660" customFormat="1" ht="13.5" customHeight="1">
      <c r="A376" s="5726"/>
      <c r="B376" s="5713"/>
      <c r="C376" s="5714"/>
      <c r="D376" s="5714" t="s">
        <v>11787</v>
      </c>
      <c r="E376" s="5714"/>
      <c r="F376" s="5619"/>
      <c r="G376" s="5724"/>
      <c r="H376" s="6003"/>
      <c r="I376" s="5757"/>
      <c r="J376" s="5736"/>
      <c r="K376" s="1618"/>
      <c r="L376" s="808"/>
      <c r="M376" s="808"/>
      <c r="N376" s="808"/>
      <c r="O376" s="808"/>
      <c r="P376" s="808"/>
      <c r="Q376" s="808"/>
      <c r="R376" s="772"/>
      <c r="S376" s="718"/>
    </row>
    <row r="377" spans="1:19" s="333" customFormat="1" ht="27" customHeight="1">
      <c r="A377" s="5712">
        <v>82</v>
      </c>
      <c r="B377" s="5713" t="s">
        <v>4103</v>
      </c>
      <c r="C377" s="5714" t="s">
        <v>11986</v>
      </c>
      <c r="D377" s="5715" t="s">
        <v>11987</v>
      </c>
      <c r="E377" s="5716" t="s">
        <v>155</v>
      </c>
      <c r="F377" s="5717">
        <f>SUM(F379)</f>
        <v>1</v>
      </c>
      <c r="G377" s="5718"/>
      <c r="H377" s="6002">
        <f>F377*G377</f>
        <v>0</v>
      </c>
      <c r="I377" s="5719" t="s">
        <v>60</v>
      </c>
      <c r="J377" s="5756"/>
      <c r="K377" s="1325"/>
    </row>
    <row r="378" spans="1:19" ht="27" customHeight="1">
      <c r="A378" s="5721"/>
      <c r="B378" s="5714"/>
      <c r="C378" s="5714"/>
      <c r="D378" s="5714" t="s">
        <v>11933</v>
      </c>
      <c r="E378" s="5714"/>
      <c r="F378" s="5723"/>
      <c r="G378" s="5724"/>
      <c r="H378" s="6003"/>
      <c r="I378" s="5724"/>
      <c r="J378" s="5756"/>
    </row>
    <row r="379" spans="1:19" s="660" customFormat="1" ht="13.5" customHeight="1">
      <c r="A379" s="5726"/>
      <c r="B379" s="5713"/>
      <c r="C379" s="5714"/>
      <c r="D379" s="5714" t="s">
        <v>11785</v>
      </c>
      <c r="E379" s="5714"/>
      <c r="F379" s="5619">
        <v>1</v>
      </c>
      <c r="G379" s="5724"/>
      <c r="H379" s="6003"/>
      <c r="I379" s="5724"/>
      <c r="J379" s="5736"/>
      <c r="K379" s="1618"/>
      <c r="L379" s="808"/>
      <c r="M379" s="808"/>
      <c r="N379" s="808"/>
      <c r="O379" s="808"/>
      <c r="P379" s="808"/>
      <c r="Q379" s="808"/>
      <c r="R379" s="772"/>
      <c r="S379" s="718"/>
    </row>
    <row r="380" spans="1:19" s="660" customFormat="1" ht="13.5" customHeight="1">
      <c r="A380" s="5726"/>
      <c r="B380" s="5713"/>
      <c r="C380" s="5714"/>
      <c r="D380" s="5714" t="s">
        <v>11787</v>
      </c>
      <c r="E380" s="5714"/>
      <c r="F380" s="5619"/>
      <c r="G380" s="5724"/>
      <c r="H380" s="6003"/>
      <c r="I380" s="5757"/>
      <c r="J380" s="5736"/>
      <c r="K380" s="1618"/>
      <c r="L380" s="808"/>
      <c r="M380" s="808"/>
      <c r="N380" s="808"/>
      <c r="O380" s="808"/>
      <c r="P380" s="808"/>
      <c r="Q380" s="808"/>
      <c r="R380" s="772"/>
      <c r="S380" s="718"/>
    </row>
    <row r="381" spans="1:19" s="333" customFormat="1" ht="27" customHeight="1">
      <c r="A381" s="5712">
        <v>83</v>
      </c>
      <c r="B381" s="5713" t="s">
        <v>4103</v>
      </c>
      <c r="C381" s="5714" t="s">
        <v>11988</v>
      </c>
      <c r="D381" s="5715" t="s">
        <v>11989</v>
      </c>
      <c r="E381" s="5716" t="s">
        <v>155</v>
      </c>
      <c r="F381" s="5717">
        <f>SUM(F383)</f>
        <v>1</v>
      </c>
      <c r="G381" s="5718"/>
      <c r="H381" s="6002">
        <f>F381*G381</f>
        <v>0</v>
      </c>
      <c r="I381" s="5719" t="s">
        <v>60</v>
      </c>
      <c r="J381" s="5756"/>
      <c r="K381" s="1325"/>
    </row>
    <row r="382" spans="1:19" ht="27" customHeight="1">
      <c r="A382" s="5721"/>
      <c r="B382" s="5714"/>
      <c r="C382" s="5714"/>
      <c r="D382" s="5714" t="s">
        <v>11933</v>
      </c>
      <c r="E382" s="5714"/>
      <c r="F382" s="5723"/>
      <c r="G382" s="5724"/>
      <c r="H382" s="6003"/>
      <c r="I382" s="5724"/>
      <c r="J382" s="5756"/>
    </row>
    <row r="383" spans="1:19" s="660" customFormat="1" ht="13.5" customHeight="1">
      <c r="A383" s="5726"/>
      <c r="B383" s="5713"/>
      <c r="C383" s="5714"/>
      <c r="D383" s="5714" t="s">
        <v>11785</v>
      </c>
      <c r="E383" s="5714"/>
      <c r="F383" s="5619">
        <v>1</v>
      </c>
      <c r="G383" s="5724"/>
      <c r="H383" s="6003"/>
      <c r="I383" s="5724"/>
      <c r="J383" s="5736"/>
      <c r="K383" s="1618"/>
      <c r="L383" s="808"/>
      <c r="M383" s="808"/>
      <c r="N383" s="808"/>
      <c r="O383" s="808"/>
      <c r="P383" s="808"/>
      <c r="Q383" s="808"/>
      <c r="R383" s="772"/>
      <c r="S383" s="718"/>
    </row>
    <row r="384" spans="1:19" s="660" customFormat="1" ht="13.5" customHeight="1">
      <c r="A384" s="5726"/>
      <c r="B384" s="5713"/>
      <c r="C384" s="5714"/>
      <c r="D384" s="5714" t="s">
        <v>11787</v>
      </c>
      <c r="E384" s="5714"/>
      <c r="F384" s="5619"/>
      <c r="G384" s="5724"/>
      <c r="H384" s="6003"/>
      <c r="I384" s="5757"/>
      <c r="J384" s="5736"/>
      <c r="K384" s="1618"/>
      <c r="L384" s="808"/>
      <c r="M384" s="808"/>
      <c r="N384" s="808"/>
      <c r="O384" s="808"/>
      <c r="P384" s="808"/>
      <c r="Q384" s="808"/>
      <c r="R384" s="772"/>
      <c r="S384" s="718"/>
    </row>
    <row r="385" spans="1:19" s="333" customFormat="1" ht="27" customHeight="1">
      <c r="A385" s="5712">
        <v>84</v>
      </c>
      <c r="B385" s="5713" t="s">
        <v>4103</v>
      </c>
      <c r="C385" s="5714" t="s">
        <v>11990</v>
      </c>
      <c r="D385" s="5715" t="s">
        <v>11991</v>
      </c>
      <c r="E385" s="5716" t="s">
        <v>155</v>
      </c>
      <c r="F385" s="5717">
        <f>SUM(F387)</f>
        <v>1</v>
      </c>
      <c r="G385" s="5718"/>
      <c r="H385" s="6002">
        <f>F385*G385</f>
        <v>0</v>
      </c>
      <c r="I385" s="5719" t="s">
        <v>60</v>
      </c>
      <c r="J385" s="5756"/>
      <c r="K385" s="1325"/>
    </row>
    <row r="386" spans="1:19" ht="27" customHeight="1">
      <c r="A386" s="5721"/>
      <c r="B386" s="5714"/>
      <c r="C386" s="5714"/>
      <c r="D386" s="5714" t="s">
        <v>11971</v>
      </c>
      <c r="E386" s="5714"/>
      <c r="F386" s="5723"/>
      <c r="G386" s="5724"/>
      <c r="H386" s="6003"/>
      <c r="I386" s="5724"/>
      <c r="J386" s="5756"/>
    </row>
    <row r="387" spans="1:19" s="660" customFormat="1" ht="13.5" customHeight="1">
      <c r="A387" s="5726"/>
      <c r="B387" s="5713"/>
      <c r="C387" s="5714"/>
      <c r="D387" s="5714" t="s">
        <v>11785</v>
      </c>
      <c r="E387" s="5714"/>
      <c r="F387" s="5619">
        <v>1</v>
      </c>
      <c r="G387" s="5724"/>
      <c r="H387" s="6003"/>
      <c r="I387" s="5724"/>
      <c r="J387" s="5736"/>
      <c r="K387" s="1618"/>
      <c r="L387" s="808"/>
      <c r="M387" s="808"/>
      <c r="N387" s="808"/>
      <c r="O387" s="808"/>
      <c r="P387" s="808"/>
      <c r="Q387" s="808"/>
      <c r="R387" s="772"/>
      <c r="S387" s="718"/>
    </row>
    <row r="388" spans="1:19" s="660" customFormat="1" ht="13.5" customHeight="1">
      <c r="A388" s="5726"/>
      <c r="B388" s="5713"/>
      <c r="C388" s="5714"/>
      <c r="D388" s="5714" t="s">
        <v>11787</v>
      </c>
      <c r="E388" s="5714"/>
      <c r="F388" s="5619"/>
      <c r="G388" s="5724"/>
      <c r="H388" s="6003"/>
      <c r="I388" s="5757"/>
      <c r="J388" s="5736"/>
      <c r="K388" s="1618"/>
      <c r="L388" s="808"/>
      <c r="M388" s="808"/>
      <c r="N388" s="808"/>
      <c r="O388" s="808"/>
      <c r="P388" s="808"/>
      <c r="Q388" s="808"/>
      <c r="R388" s="772"/>
      <c r="S388" s="718"/>
    </row>
    <row r="389" spans="1:19" s="333" customFormat="1" ht="27" customHeight="1">
      <c r="A389" s="5712">
        <v>85</v>
      </c>
      <c r="B389" s="5713" t="s">
        <v>4103</v>
      </c>
      <c r="C389" s="5714" t="s">
        <v>11992</v>
      </c>
      <c r="D389" s="5715" t="s">
        <v>11993</v>
      </c>
      <c r="E389" s="5716" t="s">
        <v>155</v>
      </c>
      <c r="F389" s="5717">
        <f>SUM(F391)</f>
        <v>1</v>
      </c>
      <c r="G389" s="5718"/>
      <c r="H389" s="6002">
        <f>F389*G389</f>
        <v>0</v>
      </c>
      <c r="I389" s="5719" t="s">
        <v>60</v>
      </c>
      <c r="J389" s="5756"/>
      <c r="K389" s="1325"/>
    </row>
    <row r="390" spans="1:19" ht="27" customHeight="1">
      <c r="A390" s="5721"/>
      <c r="B390" s="5714"/>
      <c r="C390" s="5714"/>
      <c r="D390" s="5714" t="s">
        <v>11908</v>
      </c>
      <c r="E390" s="5714"/>
      <c r="F390" s="5723"/>
      <c r="G390" s="5724"/>
      <c r="H390" s="6003"/>
      <c r="I390" s="5724"/>
      <c r="J390" s="5756"/>
    </row>
    <row r="391" spans="1:19" s="660" customFormat="1" ht="13.5" customHeight="1">
      <c r="A391" s="5726"/>
      <c r="B391" s="5713"/>
      <c r="C391" s="5714"/>
      <c r="D391" s="5714" t="s">
        <v>11785</v>
      </c>
      <c r="E391" s="5714"/>
      <c r="F391" s="5619">
        <v>1</v>
      </c>
      <c r="G391" s="5724"/>
      <c r="H391" s="6003"/>
      <c r="I391" s="5724"/>
      <c r="J391" s="5736"/>
      <c r="K391" s="1618"/>
      <c r="L391" s="808"/>
      <c r="M391" s="808"/>
      <c r="N391" s="808"/>
      <c r="O391" s="808"/>
      <c r="P391" s="808"/>
      <c r="Q391" s="808"/>
      <c r="R391" s="772"/>
      <c r="S391" s="718"/>
    </row>
    <row r="392" spans="1:19" s="660" customFormat="1" ht="13.5" customHeight="1">
      <c r="A392" s="5726"/>
      <c r="B392" s="5713"/>
      <c r="C392" s="5714"/>
      <c r="D392" s="5714" t="s">
        <v>11787</v>
      </c>
      <c r="E392" s="5714"/>
      <c r="F392" s="5619"/>
      <c r="G392" s="5724"/>
      <c r="H392" s="6003"/>
      <c r="I392" s="5757"/>
      <c r="J392" s="5736"/>
      <c r="K392" s="1618"/>
      <c r="L392" s="808"/>
      <c r="M392" s="808"/>
      <c r="N392" s="808"/>
      <c r="O392" s="808"/>
      <c r="P392" s="808"/>
      <c r="Q392" s="808"/>
      <c r="R392" s="772"/>
      <c r="S392" s="718"/>
    </row>
    <row r="393" spans="1:19" s="333" customFormat="1" ht="27" customHeight="1">
      <c r="A393" s="5712">
        <v>86</v>
      </c>
      <c r="B393" s="5713" t="s">
        <v>4103</v>
      </c>
      <c r="C393" s="5714" t="s">
        <v>11994</v>
      </c>
      <c r="D393" s="5715" t="s">
        <v>11995</v>
      </c>
      <c r="E393" s="5716" t="s">
        <v>155</v>
      </c>
      <c r="F393" s="5717">
        <f>SUM(F395)</f>
        <v>1</v>
      </c>
      <c r="G393" s="5718"/>
      <c r="H393" s="6002">
        <f>F393*G393</f>
        <v>0</v>
      </c>
      <c r="I393" s="5719" t="s">
        <v>60</v>
      </c>
      <c r="J393" s="5756"/>
      <c r="K393" s="1325"/>
    </row>
    <row r="394" spans="1:19" ht="27" customHeight="1">
      <c r="A394" s="5721"/>
      <c r="B394" s="5714"/>
      <c r="C394" s="5714"/>
      <c r="D394" s="5714" t="s">
        <v>11908</v>
      </c>
      <c r="E394" s="5714"/>
      <c r="F394" s="5723"/>
      <c r="G394" s="5724"/>
      <c r="H394" s="6003"/>
      <c r="I394" s="5724"/>
      <c r="J394" s="5756"/>
    </row>
    <row r="395" spans="1:19" s="660" customFormat="1" ht="13.5" customHeight="1">
      <c r="A395" s="5726"/>
      <c r="B395" s="5713"/>
      <c r="C395" s="5714"/>
      <c r="D395" s="5714" t="s">
        <v>11785</v>
      </c>
      <c r="E395" s="5714"/>
      <c r="F395" s="5619">
        <v>1</v>
      </c>
      <c r="G395" s="5724"/>
      <c r="H395" s="6003"/>
      <c r="I395" s="5724"/>
      <c r="J395" s="5736"/>
      <c r="K395" s="1618"/>
      <c r="L395" s="808"/>
      <c r="M395" s="808"/>
      <c r="N395" s="808"/>
      <c r="O395" s="808"/>
      <c r="P395" s="808"/>
      <c r="Q395" s="808"/>
      <c r="R395" s="772"/>
      <c r="S395" s="718"/>
    </row>
    <row r="396" spans="1:19" s="660" customFormat="1" ht="13.5" customHeight="1">
      <c r="A396" s="5726"/>
      <c r="B396" s="5713"/>
      <c r="C396" s="5714"/>
      <c r="D396" s="5714" t="s">
        <v>11787</v>
      </c>
      <c r="E396" s="5714"/>
      <c r="F396" s="5619"/>
      <c r="G396" s="5724"/>
      <c r="H396" s="6003"/>
      <c r="I396" s="5757"/>
      <c r="J396" s="5736"/>
      <c r="K396" s="1618"/>
      <c r="L396" s="808"/>
      <c r="M396" s="808"/>
      <c r="N396" s="808"/>
      <c r="O396" s="808"/>
      <c r="P396" s="808"/>
      <c r="Q396" s="808"/>
      <c r="R396" s="772"/>
      <c r="S396" s="718"/>
    </row>
    <row r="397" spans="1:19" s="333" customFormat="1" ht="27" customHeight="1">
      <c r="A397" s="5712">
        <v>87</v>
      </c>
      <c r="B397" s="5713" t="s">
        <v>4103</v>
      </c>
      <c r="C397" s="5714" t="s">
        <v>11996</v>
      </c>
      <c r="D397" s="5715" t="s">
        <v>11997</v>
      </c>
      <c r="E397" s="5716" t="s">
        <v>155</v>
      </c>
      <c r="F397" s="5717">
        <f>SUM(F399)</f>
        <v>1</v>
      </c>
      <c r="G397" s="5718"/>
      <c r="H397" s="6002">
        <f>F397*G397</f>
        <v>0</v>
      </c>
      <c r="I397" s="5719" t="s">
        <v>60</v>
      </c>
      <c r="J397" s="5756"/>
      <c r="K397" s="1325"/>
    </row>
    <row r="398" spans="1:19" ht="27" customHeight="1">
      <c r="A398" s="5721"/>
      <c r="B398" s="5714"/>
      <c r="C398" s="5714"/>
      <c r="D398" s="5714" t="s">
        <v>11908</v>
      </c>
      <c r="E398" s="5714"/>
      <c r="F398" s="5723"/>
      <c r="G398" s="5724"/>
      <c r="H398" s="6003"/>
      <c r="I398" s="5724"/>
      <c r="J398" s="5756"/>
    </row>
    <row r="399" spans="1:19" s="660" customFormat="1" ht="13.5" customHeight="1">
      <c r="A399" s="5726"/>
      <c r="B399" s="5713"/>
      <c r="C399" s="5714"/>
      <c r="D399" s="5714" t="s">
        <v>11785</v>
      </c>
      <c r="E399" s="5714"/>
      <c r="F399" s="5619">
        <v>1</v>
      </c>
      <c r="G399" s="5724"/>
      <c r="H399" s="6003"/>
      <c r="I399" s="5724"/>
      <c r="J399" s="5736"/>
      <c r="K399" s="1618"/>
      <c r="L399" s="808"/>
      <c r="M399" s="808"/>
      <c r="N399" s="808"/>
      <c r="O399" s="808"/>
      <c r="P399" s="808"/>
      <c r="Q399" s="808"/>
      <c r="R399" s="772"/>
      <c r="S399" s="718"/>
    </row>
    <row r="400" spans="1:19" s="660" customFormat="1" ht="13.5" customHeight="1">
      <c r="A400" s="5726"/>
      <c r="B400" s="5713"/>
      <c r="C400" s="5714"/>
      <c r="D400" s="5714" t="s">
        <v>11787</v>
      </c>
      <c r="E400" s="5714"/>
      <c r="F400" s="5619"/>
      <c r="G400" s="5724"/>
      <c r="H400" s="6003"/>
      <c r="I400" s="5757"/>
      <c r="J400" s="5736"/>
      <c r="K400" s="1618"/>
      <c r="L400" s="808"/>
      <c r="M400" s="808"/>
      <c r="N400" s="808"/>
      <c r="O400" s="808"/>
      <c r="P400" s="808"/>
      <c r="Q400" s="808"/>
      <c r="R400" s="772"/>
      <c r="S400" s="718"/>
    </row>
    <row r="401" spans="1:19" s="333" customFormat="1" ht="27" customHeight="1">
      <c r="A401" s="5712">
        <v>88</v>
      </c>
      <c r="B401" s="5713" t="s">
        <v>4103</v>
      </c>
      <c r="C401" s="5714" t="s">
        <v>11998</v>
      </c>
      <c r="D401" s="5715" t="s">
        <v>11999</v>
      </c>
      <c r="E401" s="5716" t="s">
        <v>155</v>
      </c>
      <c r="F401" s="5717">
        <f>SUM(F403)</f>
        <v>1</v>
      </c>
      <c r="G401" s="5718"/>
      <c r="H401" s="6002">
        <f>F401*G401</f>
        <v>0</v>
      </c>
      <c r="I401" s="5719" t="s">
        <v>60</v>
      </c>
      <c r="J401" s="5756"/>
      <c r="K401" s="1325"/>
    </row>
    <row r="402" spans="1:19" ht="27" customHeight="1">
      <c r="A402" s="5721"/>
      <c r="B402" s="5714"/>
      <c r="C402" s="5714"/>
      <c r="D402" s="5714" t="s">
        <v>11971</v>
      </c>
      <c r="E402" s="5714"/>
      <c r="F402" s="5723"/>
      <c r="G402" s="5724"/>
      <c r="H402" s="6003"/>
      <c r="I402" s="5724"/>
      <c r="J402" s="5756"/>
    </row>
    <row r="403" spans="1:19" s="660" customFormat="1" ht="13.5" customHeight="1">
      <c r="A403" s="5726"/>
      <c r="B403" s="5713"/>
      <c r="C403" s="5714"/>
      <c r="D403" s="5714" t="s">
        <v>11785</v>
      </c>
      <c r="E403" s="5714"/>
      <c r="F403" s="5619">
        <v>1</v>
      </c>
      <c r="G403" s="5724"/>
      <c r="H403" s="6003"/>
      <c r="I403" s="5724"/>
      <c r="J403" s="5736"/>
      <c r="K403" s="1618"/>
      <c r="L403" s="808"/>
      <c r="M403" s="808"/>
      <c r="N403" s="808"/>
      <c r="O403" s="808"/>
      <c r="P403" s="808"/>
      <c r="Q403" s="808"/>
      <c r="R403" s="772"/>
      <c r="S403" s="718"/>
    </row>
    <row r="404" spans="1:19" s="660" customFormat="1" ht="13.5" customHeight="1">
      <c r="A404" s="5726"/>
      <c r="B404" s="5713"/>
      <c r="C404" s="5714"/>
      <c r="D404" s="5714" t="s">
        <v>11787</v>
      </c>
      <c r="E404" s="5714"/>
      <c r="F404" s="5619"/>
      <c r="G404" s="5724"/>
      <c r="H404" s="6003"/>
      <c r="I404" s="5757"/>
      <c r="J404" s="5736"/>
      <c r="K404" s="1618"/>
      <c r="L404" s="808"/>
      <c r="M404" s="808"/>
      <c r="N404" s="808"/>
      <c r="O404" s="808"/>
      <c r="P404" s="808"/>
      <c r="Q404" s="808"/>
      <c r="R404" s="772"/>
      <c r="S404" s="718"/>
    </row>
    <row r="405" spans="1:19" s="333" customFormat="1" ht="27" customHeight="1">
      <c r="A405" s="5712">
        <v>89</v>
      </c>
      <c r="B405" s="5713" t="s">
        <v>4103</v>
      </c>
      <c r="C405" s="5714" t="s">
        <v>12000</v>
      </c>
      <c r="D405" s="5715" t="s">
        <v>12001</v>
      </c>
      <c r="E405" s="5716" t="s">
        <v>155</v>
      </c>
      <c r="F405" s="5717">
        <f>SUM(F407)</f>
        <v>1</v>
      </c>
      <c r="G405" s="5718"/>
      <c r="H405" s="6002">
        <f>F405*G405</f>
        <v>0</v>
      </c>
      <c r="I405" s="5719" t="s">
        <v>60</v>
      </c>
      <c r="J405" s="5756"/>
      <c r="K405" s="1325"/>
    </row>
    <row r="406" spans="1:19" ht="27" customHeight="1">
      <c r="A406" s="5721"/>
      <c r="B406" s="5714"/>
      <c r="C406" s="5714"/>
      <c r="D406" s="5714" t="s">
        <v>11971</v>
      </c>
      <c r="E406" s="5714"/>
      <c r="F406" s="5723"/>
      <c r="G406" s="5724"/>
      <c r="H406" s="6003"/>
      <c r="I406" s="5724"/>
      <c r="J406" s="5756"/>
    </row>
    <row r="407" spans="1:19" s="660" customFormat="1" ht="13.5" customHeight="1">
      <c r="A407" s="5726"/>
      <c r="B407" s="5713"/>
      <c r="C407" s="5714"/>
      <c r="D407" s="5714" t="s">
        <v>11785</v>
      </c>
      <c r="E407" s="5714"/>
      <c r="F407" s="5619">
        <v>1</v>
      </c>
      <c r="G407" s="5724"/>
      <c r="H407" s="6003"/>
      <c r="I407" s="5724"/>
      <c r="J407" s="5736"/>
      <c r="K407" s="1618"/>
      <c r="L407" s="808"/>
      <c r="M407" s="808"/>
      <c r="N407" s="808"/>
      <c r="O407" s="808"/>
      <c r="P407" s="808"/>
      <c r="Q407" s="808"/>
      <c r="R407" s="772"/>
      <c r="S407" s="718"/>
    </row>
    <row r="408" spans="1:19" s="660" customFormat="1" ht="13.5" customHeight="1">
      <c r="A408" s="5726"/>
      <c r="B408" s="5713"/>
      <c r="C408" s="5714"/>
      <c r="D408" s="5714" t="s">
        <v>11787</v>
      </c>
      <c r="E408" s="5714"/>
      <c r="F408" s="5619"/>
      <c r="G408" s="5724"/>
      <c r="H408" s="6003"/>
      <c r="I408" s="5757"/>
      <c r="J408" s="5736"/>
      <c r="K408" s="1618"/>
      <c r="L408" s="808"/>
      <c r="M408" s="808"/>
      <c r="N408" s="808"/>
      <c r="O408" s="808"/>
      <c r="P408" s="808"/>
      <c r="Q408" s="808"/>
      <c r="R408" s="772"/>
      <c r="S408" s="718"/>
    </row>
    <row r="409" spans="1:19" s="333" customFormat="1" ht="27" customHeight="1">
      <c r="A409" s="5712">
        <v>90</v>
      </c>
      <c r="B409" s="5713" t="s">
        <v>4103</v>
      </c>
      <c r="C409" s="5714" t="s">
        <v>12002</v>
      </c>
      <c r="D409" s="5715" t="s">
        <v>12003</v>
      </c>
      <c r="E409" s="5716" t="s">
        <v>155</v>
      </c>
      <c r="F409" s="5717">
        <f>SUM(F411)</f>
        <v>1</v>
      </c>
      <c r="G409" s="5718"/>
      <c r="H409" s="6002">
        <f>F409*G409</f>
        <v>0</v>
      </c>
      <c r="I409" s="5719" t="s">
        <v>60</v>
      </c>
      <c r="J409" s="5756"/>
      <c r="K409" s="1325"/>
    </row>
    <row r="410" spans="1:19" ht="27" customHeight="1">
      <c r="A410" s="5721"/>
      <c r="B410" s="5714"/>
      <c r="C410" s="5714"/>
      <c r="D410" s="5714" t="s">
        <v>11971</v>
      </c>
      <c r="E410" s="5714"/>
      <c r="F410" s="5723"/>
      <c r="G410" s="5724"/>
      <c r="H410" s="6003"/>
      <c r="I410" s="5724"/>
      <c r="J410" s="5756"/>
    </row>
    <row r="411" spans="1:19" s="660" customFormat="1" ht="13.5" customHeight="1">
      <c r="A411" s="5726"/>
      <c r="B411" s="5713"/>
      <c r="C411" s="5714"/>
      <c r="D411" s="5714" t="s">
        <v>11785</v>
      </c>
      <c r="E411" s="5714"/>
      <c r="F411" s="5619">
        <v>1</v>
      </c>
      <c r="G411" s="5724"/>
      <c r="H411" s="6003"/>
      <c r="I411" s="5724"/>
      <c r="J411" s="5736"/>
      <c r="K411" s="1618"/>
      <c r="L411" s="808"/>
      <c r="M411" s="808"/>
      <c r="N411" s="808"/>
      <c r="O411" s="808"/>
      <c r="P411" s="808"/>
      <c r="Q411" s="808"/>
      <c r="R411" s="772"/>
      <c r="S411" s="718"/>
    </row>
    <row r="412" spans="1:19" s="660" customFormat="1" ht="13.5" customHeight="1">
      <c r="A412" s="5726"/>
      <c r="B412" s="5713"/>
      <c r="C412" s="5714"/>
      <c r="D412" s="5714" t="s">
        <v>11787</v>
      </c>
      <c r="E412" s="5714"/>
      <c r="F412" s="5619"/>
      <c r="G412" s="5724"/>
      <c r="H412" s="6003"/>
      <c r="I412" s="5757"/>
      <c r="J412" s="5736"/>
      <c r="K412" s="1618"/>
      <c r="L412" s="808"/>
      <c r="M412" s="808"/>
      <c r="N412" s="808"/>
      <c r="O412" s="808"/>
      <c r="P412" s="808"/>
      <c r="Q412" s="808"/>
      <c r="R412" s="772"/>
      <c r="S412" s="718"/>
    </row>
    <row r="413" spans="1:19" s="333" customFormat="1" ht="27" customHeight="1">
      <c r="A413" s="5712">
        <v>91</v>
      </c>
      <c r="B413" s="5713" t="s">
        <v>4103</v>
      </c>
      <c r="C413" s="5714" t="s">
        <v>12004</v>
      </c>
      <c r="D413" s="5715" t="s">
        <v>12005</v>
      </c>
      <c r="E413" s="5716" t="s">
        <v>155</v>
      </c>
      <c r="F413" s="5717">
        <f>SUM(F415)</f>
        <v>1</v>
      </c>
      <c r="G413" s="5718"/>
      <c r="H413" s="6002">
        <f>F413*G413</f>
        <v>0</v>
      </c>
      <c r="I413" s="5719" t="s">
        <v>60</v>
      </c>
      <c r="J413" s="5756"/>
      <c r="K413" s="1325"/>
    </row>
    <row r="414" spans="1:19" ht="27" customHeight="1">
      <c r="A414" s="5721"/>
      <c r="B414" s="5714"/>
      <c r="C414" s="5714"/>
      <c r="D414" s="5714" t="s">
        <v>11908</v>
      </c>
      <c r="E414" s="5714"/>
      <c r="F414" s="5723"/>
      <c r="G414" s="5724"/>
      <c r="H414" s="6003"/>
      <c r="I414" s="5724"/>
      <c r="J414" s="5756"/>
    </row>
    <row r="415" spans="1:19" s="660" customFormat="1" ht="13.5" customHeight="1">
      <c r="A415" s="5726"/>
      <c r="B415" s="5713"/>
      <c r="C415" s="5714"/>
      <c r="D415" s="5714" t="s">
        <v>11785</v>
      </c>
      <c r="E415" s="5714"/>
      <c r="F415" s="5619">
        <v>1</v>
      </c>
      <c r="G415" s="5724"/>
      <c r="H415" s="6003"/>
      <c r="I415" s="5724"/>
      <c r="J415" s="5736"/>
      <c r="K415" s="1618"/>
      <c r="L415" s="808"/>
      <c r="M415" s="808"/>
      <c r="N415" s="808"/>
      <c r="O415" s="808"/>
      <c r="P415" s="808"/>
      <c r="Q415" s="808"/>
      <c r="R415" s="772"/>
      <c r="S415" s="718"/>
    </row>
    <row r="416" spans="1:19" s="660" customFormat="1" ht="13.5" customHeight="1">
      <c r="A416" s="5726"/>
      <c r="B416" s="5713"/>
      <c r="C416" s="5714"/>
      <c r="D416" s="5714" t="s">
        <v>11787</v>
      </c>
      <c r="E416" s="5714"/>
      <c r="F416" s="5619"/>
      <c r="G416" s="5724"/>
      <c r="H416" s="6003"/>
      <c r="I416" s="5757"/>
      <c r="J416" s="5736"/>
      <c r="K416" s="1618"/>
      <c r="L416" s="808"/>
      <c r="M416" s="808"/>
      <c r="N416" s="808"/>
      <c r="O416" s="808"/>
      <c r="P416" s="808"/>
      <c r="Q416" s="808"/>
      <c r="R416" s="772"/>
      <c r="S416" s="718"/>
    </row>
    <row r="417" spans="1:19" s="333" customFormat="1" ht="27" customHeight="1">
      <c r="A417" s="5712">
        <v>92</v>
      </c>
      <c r="B417" s="5713" t="s">
        <v>4103</v>
      </c>
      <c r="C417" s="5714" t="s">
        <v>12006</v>
      </c>
      <c r="D417" s="5715" t="s">
        <v>12007</v>
      </c>
      <c r="E417" s="5716" t="s">
        <v>155</v>
      </c>
      <c r="F417" s="5717">
        <f>SUM(F419)</f>
        <v>1</v>
      </c>
      <c r="G417" s="5718"/>
      <c r="H417" s="6002">
        <f>F417*G417</f>
        <v>0</v>
      </c>
      <c r="I417" s="5719" t="s">
        <v>60</v>
      </c>
      <c r="J417" s="5756"/>
      <c r="K417" s="1325"/>
    </row>
    <row r="418" spans="1:19" ht="27" customHeight="1">
      <c r="A418" s="5721"/>
      <c r="B418" s="5714"/>
      <c r="C418" s="5714"/>
      <c r="D418" s="5714" t="s">
        <v>11933</v>
      </c>
      <c r="E418" s="5714"/>
      <c r="F418" s="5723"/>
      <c r="G418" s="5724"/>
      <c r="H418" s="6003"/>
      <c r="I418" s="5724"/>
      <c r="J418" s="5756"/>
    </row>
    <row r="419" spans="1:19" s="660" customFormat="1" ht="13.5" customHeight="1">
      <c r="A419" s="5726"/>
      <c r="B419" s="5713"/>
      <c r="C419" s="5714"/>
      <c r="D419" s="5714" t="s">
        <v>11785</v>
      </c>
      <c r="E419" s="5714"/>
      <c r="F419" s="5619">
        <v>1</v>
      </c>
      <c r="G419" s="5724"/>
      <c r="H419" s="6003"/>
      <c r="I419" s="5724"/>
      <c r="J419" s="5736"/>
      <c r="K419" s="1618"/>
      <c r="L419" s="808"/>
      <c r="M419" s="808"/>
      <c r="N419" s="808"/>
      <c r="O419" s="808"/>
      <c r="P419" s="808"/>
      <c r="Q419" s="808"/>
      <c r="R419" s="772"/>
      <c r="S419" s="718"/>
    </row>
    <row r="420" spans="1:19" s="660" customFormat="1" ht="13.5" customHeight="1">
      <c r="A420" s="5726"/>
      <c r="B420" s="5713"/>
      <c r="C420" s="5714"/>
      <c r="D420" s="5714" t="s">
        <v>11787</v>
      </c>
      <c r="E420" s="5714"/>
      <c r="F420" s="5619"/>
      <c r="G420" s="5724"/>
      <c r="H420" s="6003"/>
      <c r="I420" s="5757"/>
      <c r="J420" s="5736"/>
      <c r="K420" s="1618"/>
      <c r="L420" s="808"/>
      <c r="M420" s="808"/>
      <c r="N420" s="808"/>
      <c r="O420" s="808"/>
      <c r="P420" s="808"/>
      <c r="Q420" s="808"/>
      <c r="R420" s="772"/>
      <c r="S420" s="718"/>
    </row>
    <row r="421" spans="1:19" s="333" customFormat="1" ht="27" customHeight="1">
      <c r="A421" s="5712">
        <v>93</v>
      </c>
      <c r="B421" s="5713" t="s">
        <v>4103</v>
      </c>
      <c r="C421" s="5714" t="s">
        <v>12008</v>
      </c>
      <c r="D421" s="5715" t="s">
        <v>12009</v>
      </c>
      <c r="E421" s="5716" t="s">
        <v>155</v>
      </c>
      <c r="F421" s="5717">
        <f>SUM(F423)</f>
        <v>1</v>
      </c>
      <c r="G421" s="5718"/>
      <c r="H421" s="6002">
        <f>F421*G421</f>
        <v>0</v>
      </c>
      <c r="I421" s="5719" t="s">
        <v>60</v>
      </c>
      <c r="J421" s="5756"/>
      <c r="K421" s="1325"/>
    </row>
    <row r="422" spans="1:19" ht="27" customHeight="1">
      <c r="A422" s="5721"/>
      <c r="B422" s="5714"/>
      <c r="C422" s="5714"/>
      <c r="D422" s="5714" t="s">
        <v>11933</v>
      </c>
      <c r="E422" s="5714"/>
      <c r="F422" s="5723"/>
      <c r="G422" s="5724"/>
      <c r="H422" s="6003"/>
      <c r="I422" s="5724"/>
      <c r="J422" s="5756"/>
    </row>
    <row r="423" spans="1:19" s="660" customFormat="1" ht="13.5" customHeight="1">
      <c r="A423" s="5726"/>
      <c r="B423" s="5713"/>
      <c r="C423" s="5714"/>
      <c r="D423" s="5714" t="s">
        <v>11785</v>
      </c>
      <c r="E423" s="5714"/>
      <c r="F423" s="5619">
        <v>1</v>
      </c>
      <c r="G423" s="5724"/>
      <c r="H423" s="6003"/>
      <c r="I423" s="5724"/>
      <c r="J423" s="5736"/>
      <c r="K423" s="1618"/>
      <c r="L423" s="808"/>
      <c r="M423" s="808"/>
      <c r="N423" s="808"/>
      <c r="O423" s="808"/>
      <c r="P423" s="808"/>
      <c r="Q423" s="808"/>
      <c r="R423" s="772"/>
      <c r="S423" s="718"/>
    </row>
    <row r="424" spans="1:19" s="660" customFormat="1" ht="13.5" customHeight="1">
      <c r="A424" s="5726"/>
      <c r="B424" s="5713"/>
      <c r="C424" s="5714"/>
      <c r="D424" s="5714" t="s">
        <v>11787</v>
      </c>
      <c r="E424" s="5714"/>
      <c r="F424" s="5619"/>
      <c r="G424" s="5724"/>
      <c r="H424" s="6003"/>
      <c r="I424" s="5757"/>
      <c r="J424" s="5736"/>
      <c r="K424" s="1618"/>
      <c r="L424" s="808"/>
      <c r="M424" s="808"/>
      <c r="N424" s="808"/>
      <c r="O424" s="808"/>
      <c r="P424" s="808"/>
      <c r="Q424" s="808"/>
      <c r="R424" s="772"/>
      <c r="S424" s="718"/>
    </row>
    <row r="425" spans="1:19" s="333" customFormat="1" ht="27" customHeight="1">
      <c r="A425" s="5712">
        <v>94</v>
      </c>
      <c r="B425" s="5713" t="s">
        <v>4103</v>
      </c>
      <c r="C425" s="5714" t="s">
        <v>12010</v>
      </c>
      <c r="D425" s="5715" t="s">
        <v>12011</v>
      </c>
      <c r="E425" s="5716" t="s">
        <v>155</v>
      </c>
      <c r="F425" s="5717">
        <f>SUM(F427)</f>
        <v>1</v>
      </c>
      <c r="G425" s="5718"/>
      <c r="H425" s="6002">
        <f>F425*G425</f>
        <v>0</v>
      </c>
      <c r="I425" s="5719" t="s">
        <v>60</v>
      </c>
      <c r="J425" s="5756"/>
      <c r="K425" s="1325"/>
    </row>
    <row r="426" spans="1:19" ht="27" customHeight="1">
      <c r="A426" s="5721"/>
      <c r="B426" s="5714"/>
      <c r="C426" s="5714"/>
      <c r="D426" s="5714" t="s">
        <v>11966</v>
      </c>
      <c r="E426" s="5714"/>
      <c r="F426" s="5723"/>
      <c r="G426" s="5724"/>
      <c r="H426" s="6003"/>
      <c r="I426" s="5724"/>
      <c r="J426" s="5756"/>
    </row>
    <row r="427" spans="1:19" s="660" customFormat="1" ht="13.5" customHeight="1">
      <c r="A427" s="5726"/>
      <c r="B427" s="5713"/>
      <c r="C427" s="5714"/>
      <c r="D427" s="5714" t="s">
        <v>11785</v>
      </c>
      <c r="E427" s="5714"/>
      <c r="F427" s="5619">
        <v>1</v>
      </c>
      <c r="G427" s="5724"/>
      <c r="H427" s="6003"/>
      <c r="I427" s="5724"/>
      <c r="J427" s="5736"/>
      <c r="K427" s="1618"/>
      <c r="L427" s="808"/>
      <c r="M427" s="808"/>
      <c r="N427" s="808"/>
      <c r="O427" s="808"/>
      <c r="P427" s="808"/>
      <c r="Q427" s="808"/>
      <c r="R427" s="772"/>
      <c r="S427" s="718"/>
    </row>
    <row r="428" spans="1:19" s="660" customFormat="1" ht="13.5" customHeight="1">
      <c r="A428" s="5726"/>
      <c r="B428" s="5713"/>
      <c r="C428" s="5714"/>
      <c r="D428" s="5714" t="s">
        <v>11787</v>
      </c>
      <c r="E428" s="5714"/>
      <c r="F428" s="5619"/>
      <c r="G428" s="5724"/>
      <c r="H428" s="6003"/>
      <c r="I428" s="5757"/>
      <c r="J428" s="5736"/>
      <c r="K428" s="1618"/>
      <c r="L428" s="808"/>
      <c r="M428" s="808"/>
      <c r="N428" s="808"/>
      <c r="O428" s="808"/>
      <c r="P428" s="808"/>
      <c r="Q428" s="808"/>
      <c r="R428" s="772"/>
      <c r="S428" s="718"/>
    </row>
    <row r="429" spans="1:19" s="333" customFormat="1" ht="27" customHeight="1">
      <c r="A429" s="5712">
        <v>95</v>
      </c>
      <c r="B429" s="5713" t="s">
        <v>4103</v>
      </c>
      <c r="C429" s="5714" t="s">
        <v>12012</v>
      </c>
      <c r="D429" s="5715" t="s">
        <v>12013</v>
      </c>
      <c r="E429" s="5716" t="s">
        <v>155</v>
      </c>
      <c r="F429" s="5717">
        <f>SUM(F431)</f>
        <v>1</v>
      </c>
      <c r="G429" s="5718"/>
      <c r="H429" s="6002">
        <f>F429*G429</f>
        <v>0</v>
      </c>
      <c r="I429" s="5719" t="s">
        <v>60</v>
      </c>
      <c r="J429" s="5756"/>
      <c r="K429" s="1325"/>
    </row>
    <row r="430" spans="1:19" ht="27" customHeight="1">
      <c r="A430" s="5721"/>
      <c r="B430" s="5714"/>
      <c r="C430" s="5714"/>
      <c r="D430" s="5714" t="s">
        <v>11966</v>
      </c>
      <c r="E430" s="5714"/>
      <c r="F430" s="5723"/>
      <c r="G430" s="5724"/>
      <c r="H430" s="6003"/>
      <c r="I430" s="5724"/>
      <c r="J430" s="5756"/>
    </row>
    <row r="431" spans="1:19" s="660" customFormat="1" ht="13.5" customHeight="1">
      <c r="A431" s="5726"/>
      <c r="B431" s="5713"/>
      <c r="C431" s="5714"/>
      <c r="D431" s="5714" t="s">
        <v>11785</v>
      </c>
      <c r="E431" s="5714"/>
      <c r="F431" s="5619">
        <v>1</v>
      </c>
      <c r="G431" s="5724"/>
      <c r="H431" s="6003"/>
      <c r="I431" s="5724"/>
      <c r="J431" s="5736"/>
      <c r="K431" s="1618"/>
      <c r="L431" s="808"/>
      <c r="M431" s="808"/>
      <c r="N431" s="808"/>
      <c r="O431" s="808"/>
      <c r="P431" s="808"/>
      <c r="Q431" s="808"/>
      <c r="R431" s="772"/>
      <c r="S431" s="718"/>
    </row>
    <row r="432" spans="1:19" s="660" customFormat="1" ht="13.5" customHeight="1">
      <c r="A432" s="5726"/>
      <c r="B432" s="5713"/>
      <c r="C432" s="5714"/>
      <c r="D432" s="5714" t="s">
        <v>11787</v>
      </c>
      <c r="E432" s="5714"/>
      <c r="F432" s="5619"/>
      <c r="G432" s="5724"/>
      <c r="H432" s="6003"/>
      <c r="I432" s="5757"/>
      <c r="J432" s="5736"/>
      <c r="K432" s="1618"/>
      <c r="L432" s="808"/>
      <c r="M432" s="808"/>
      <c r="N432" s="808"/>
      <c r="O432" s="808"/>
      <c r="P432" s="808"/>
      <c r="Q432" s="808"/>
      <c r="R432" s="772"/>
      <c r="S432" s="718"/>
    </row>
    <row r="433" spans="1:19" s="333" customFormat="1" ht="27" customHeight="1">
      <c r="A433" s="5712">
        <v>96</v>
      </c>
      <c r="B433" s="5713" t="s">
        <v>4103</v>
      </c>
      <c r="C433" s="5714" t="s">
        <v>12014</v>
      </c>
      <c r="D433" s="5715" t="s">
        <v>12015</v>
      </c>
      <c r="E433" s="5716" t="s">
        <v>155</v>
      </c>
      <c r="F433" s="5717">
        <f>SUM(F435)</f>
        <v>1</v>
      </c>
      <c r="G433" s="5718"/>
      <c r="H433" s="6002">
        <f>F433*G433</f>
        <v>0</v>
      </c>
      <c r="I433" s="5719" t="s">
        <v>60</v>
      </c>
      <c r="J433" s="5756"/>
      <c r="K433" s="1325"/>
    </row>
    <row r="434" spans="1:19" ht="27" customHeight="1">
      <c r="A434" s="5721"/>
      <c r="B434" s="5714"/>
      <c r="C434" s="5714"/>
      <c r="D434" s="5714" t="s">
        <v>11908</v>
      </c>
      <c r="E434" s="5714"/>
      <c r="F434" s="5723"/>
      <c r="G434" s="5724"/>
      <c r="H434" s="6003"/>
      <c r="I434" s="5724"/>
      <c r="J434" s="5756"/>
    </row>
    <row r="435" spans="1:19" s="660" customFormat="1" ht="13.5" customHeight="1">
      <c r="A435" s="5726"/>
      <c r="B435" s="5713"/>
      <c r="C435" s="5714"/>
      <c r="D435" s="5714" t="s">
        <v>11785</v>
      </c>
      <c r="E435" s="5714"/>
      <c r="F435" s="5619">
        <v>1</v>
      </c>
      <c r="G435" s="5724"/>
      <c r="H435" s="6003"/>
      <c r="I435" s="5724"/>
      <c r="J435" s="5736"/>
      <c r="K435" s="1618"/>
      <c r="L435" s="808"/>
      <c r="M435" s="808"/>
      <c r="N435" s="808"/>
      <c r="O435" s="808"/>
      <c r="P435" s="808"/>
      <c r="Q435" s="808"/>
      <c r="R435" s="772"/>
      <c r="S435" s="718"/>
    </row>
    <row r="436" spans="1:19" s="660" customFormat="1" ht="13.5" customHeight="1">
      <c r="A436" s="5726"/>
      <c r="B436" s="5713"/>
      <c r="C436" s="5714"/>
      <c r="D436" s="5714" t="s">
        <v>11787</v>
      </c>
      <c r="E436" s="5714"/>
      <c r="F436" s="5619"/>
      <c r="G436" s="5724"/>
      <c r="H436" s="6003"/>
      <c r="I436" s="5757"/>
      <c r="J436" s="5736"/>
      <c r="K436" s="1618"/>
      <c r="L436" s="808"/>
      <c r="M436" s="808"/>
      <c r="N436" s="808"/>
      <c r="O436" s="808"/>
      <c r="P436" s="808"/>
      <c r="Q436" s="808"/>
      <c r="R436" s="772"/>
      <c r="S436" s="718"/>
    </row>
    <row r="437" spans="1:19" s="333" customFormat="1" ht="27" customHeight="1">
      <c r="A437" s="5712">
        <v>97</v>
      </c>
      <c r="B437" s="5713" t="s">
        <v>4103</v>
      </c>
      <c r="C437" s="5714" t="s">
        <v>12016</v>
      </c>
      <c r="D437" s="5715" t="s">
        <v>12017</v>
      </c>
      <c r="E437" s="5716" t="s">
        <v>155</v>
      </c>
      <c r="F437" s="5717">
        <f>SUM(F439)</f>
        <v>1</v>
      </c>
      <c r="G437" s="5718"/>
      <c r="H437" s="6002">
        <f>F437*G437</f>
        <v>0</v>
      </c>
      <c r="I437" s="5719" t="s">
        <v>60</v>
      </c>
      <c r="J437" s="5756"/>
      <c r="K437" s="1325"/>
    </row>
    <row r="438" spans="1:19" ht="27" customHeight="1">
      <c r="A438" s="5721"/>
      <c r="B438" s="5714"/>
      <c r="C438" s="5714"/>
      <c r="D438" s="5714" t="s">
        <v>11908</v>
      </c>
      <c r="E438" s="5714"/>
      <c r="F438" s="5723"/>
      <c r="G438" s="5724"/>
      <c r="H438" s="6003"/>
      <c r="I438" s="5724"/>
      <c r="J438" s="5756"/>
    </row>
    <row r="439" spans="1:19" s="660" customFormat="1" ht="13.5" customHeight="1">
      <c r="A439" s="5726"/>
      <c r="B439" s="5713"/>
      <c r="C439" s="5714"/>
      <c r="D439" s="5714" t="s">
        <v>11785</v>
      </c>
      <c r="E439" s="5714"/>
      <c r="F439" s="5619">
        <v>1</v>
      </c>
      <c r="G439" s="5724"/>
      <c r="H439" s="6003"/>
      <c r="I439" s="5724"/>
      <c r="J439" s="5736"/>
      <c r="K439" s="1618"/>
      <c r="L439" s="808"/>
      <c r="M439" s="808"/>
      <c r="N439" s="808"/>
      <c r="O439" s="808"/>
      <c r="P439" s="808"/>
      <c r="Q439" s="808"/>
      <c r="R439" s="772"/>
      <c r="S439" s="718"/>
    </row>
    <row r="440" spans="1:19" s="660" customFormat="1" ht="13.5" customHeight="1">
      <c r="A440" s="5726"/>
      <c r="B440" s="5713"/>
      <c r="C440" s="5714"/>
      <c r="D440" s="5714" t="s">
        <v>11787</v>
      </c>
      <c r="E440" s="5714"/>
      <c r="F440" s="5619"/>
      <c r="G440" s="5724"/>
      <c r="H440" s="6003"/>
      <c r="I440" s="5757"/>
      <c r="J440" s="5736"/>
      <c r="K440" s="1618"/>
      <c r="L440" s="808"/>
      <c r="M440" s="808"/>
      <c r="N440" s="808"/>
      <c r="O440" s="808"/>
      <c r="P440" s="808"/>
      <c r="Q440" s="808"/>
      <c r="R440" s="772"/>
      <c r="S440" s="718"/>
    </row>
    <row r="441" spans="1:19" s="333" customFormat="1" ht="27" customHeight="1">
      <c r="A441" s="5712">
        <v>98</v>
      </c>
      <c r="B441" s="5713" t="s">
        <v>4103</v>
      </c>
      <c r="C441" s="5714" t="s">
        <v>12018</v>
      </c>
      <c r="D441" s="5715" t="s">
        <v>12019</v>
      </c>
      <c r="E441" s="5716" t="s">
        <v>155</v>
      </c>
      <c r="F441" s="5717">
        <f>SUM(F443)</f>
        <v>1</v>
      </c>
      <c r="G441" s="5718"/>
      <c r="H441" s="6002">
        <f>F441*G441</f>
        <v>0</v>
      </c>
      <c r="I441" s="5719" t="s">
        <v>60</v>
      </c>
      <c r="J441" s="5756"/>
      <c r="K441" s="1325"/>
    </row>
    <row r="442" spans="1:19" ht="27" customHeight="1">
      <c r="A442" s="5721"/>
      <c r="B442" s="5714"/>
      <c r="C442" s="5714"/>
      <c r="D442" s="5714" t="s">
        <v>11908</v>
      </c>
      <c r="E442" s="5714"/>
      <c r="F442" s="5723"/>
      <c r="G442" s="5724"/>
      <c r="H442" s="6003"/>
      <c r="I442" s="5724"/>
      <c r="J442" s="5756"/>
    </row>
    <row r="443" spans="1:19" s="660" customFormat="1" ht="13.5" customHeight="1">
      <c r="A443" s="5726"/>
      <c r="B443" s="5713"/>
      <c r="C443" s="5714"/>
      <c r="D443" s="5714" t="s">
        <v>11785</v>
      </c>
      <c r="E443" s="5714"/>
      <c r="F443" s="5619">
        <v>1</v>
      </c>
      <c r="G443" s="5724"/>
      <c r="H443" s="6003"/>
      <c r="I443" s="5724"/>
      <c r="J443" s="5736"/>
      <c r="K443" s="1618"/>
      <c r="L443" s="808"/>
      <c r="M443" s="808"/>
      <c r="N443" s="808"/>
      <c r="O443" s="808"/>
      <c r="P443" s="808"/>
      <c r="Q443" s="808"/>
      <c r="R443" s="772"/>
      <c r="S443" s="718"/>
    </row>
    <row r="444" spans="1:19" s="660" customFormat="1" ht="13.5" customHeight="1">
      <c r="A444" s="5726"/>
      <c r="B444" s="5713"/>
      <c r="C444" s="5714"/>
      <c r="D444" s="5714" t="s">
        <v>11787</v>
      </c>
      <c r="E444" s="5714"/>
      <c r="F444" s="5619"/>
      <c r="G444" s="5724"/>
      <c r="H444" s="6003"/>
      <c r="I444" s="5757"/>
      <c r="J444" s="5736"/>
      <c r="K444" s="1618"/>
      <c r="L444" s="808"/>
      <c r="M444" s="808"/>
      <c r="N444" s="808"/>
      <c r="O444" s="808"/>
      <c r="P444" s="808"/>
      <c r="Q444" s="808"/>
      <c r="R444" s="772"/>
      <c r="S444" s="718"/>
    </row>
    <row r="445" spans="1:19" s="333" customFormat="1" ht="27" customHeight="1">
      <c r="A445" s="5712">
        <v>99</v>
      </c>
      <c r="B445" s="5713" t="s">
        <v>4103</v>
      </c>
      <c r="C445" s="5714" t="s">
        <v>12020</v>
      </c>
      <c r="D445" s="5715" t="s">
        <v>12021</v>
      </c>
      <c r="E445" s="5716" t="s">
        <v>155</v>
      </c>
      <c r="F445" s="5717">
        <f>SUM(F447)</f>
        <v>1</v>
      </c>
      <c r="G445" s="5718"/>
      <c r="H445" s="6002">
        <f>F445*G445</f>
        <v>0</v>
      </c>
      <c r="I445" s="5719" t="s">
        <v>60</v>
      </c>
      <c r="J445" s="5756"/>
      <c r="K445" s="1325"/>
    </row>
    <row r="446" spans="1:19" ht="27" customHeight="1">
      <c r="A446" s="5721"/>
      <c r="B446" s="5714"/>
      <c r="C446" s="5714"/>
      <c r="D446" s="5714" t="s">
        <v>11933</v>
      </c>
      <c r="E446" s="5714"/>
      <c r="F446" s="5723"/>
      <c r="G446" s="5724"/>
      <c r="H446" s="6003"/>
      <c r="I446" s="5724"/>
      <c r="J446" s="5756"/>
    </row>
    <row r="447" spans="1:19" s="660" customFormat="1" ht="13.5" customHeight="1">
      <c r="A447" s="5726"/>
      <c r="B447" s="5713"/>
      <c r="C447" s="5714"/>
      <c r="D447" s="5714" t="s">
        <v>11785</v>
      </c>
      <c r="E447" s="5714"/>
      <c r="F447" s="5619">
        <v>1</v>
      </c>
      <c r="G447" s="5724"/>
      <c r="H447" s="6003"/>
      <c r="I447" s="5724"/>
      <c r="J447" s="5736"/>
      <c r="K447" s="1618"/>
      <c r="L447" s="808"/>
      <c r="M447" s="808"/>
      <c r="N447" s="808"/>
      <c r="O447" s="808"/>
      <c r="P447" s="808"/>
      <c r="Q447" s="808"/>
      <c r="R447" s="772"/>
      <c r="S447" s="718"/>
    </row>
    <row r="448" spans="1:19" s="660" customFormat="1" ht="13.5" customHeight="1">
      <c r="A448" s="5726"/>
      <c r="B448" s="5713"/>
      <c r="C448" s="5714"/>
      <c r="D448" s="5714" t="s">
        <v>11787</v>
      </c>
      <c r="E448" s="5714"/>
      <c r="F448" s="5619"/>
      <c r="G448" s="5724"/>
      <c r="H448" s="6003"/>
      <c r="I448" s="5757"/>
      <c r="J448" s="5736"/>
      <c r="K448" s="1618"/>
      <c r="L448" s="808"/>
      <c r="M448" s="808"/>
      <c r="N448" s="808"/>
      <c r="O448" s="808"/>
      <c r="P448" s="808"/>
      <c r="Q448" s="808"/>
      <c r="R448" s="772"/>
      <c r="S448" s="718"/>
    </row>
    <row r="449" spans="1:19" s="333" customFormat="1" ht="27" customHeight="1">
      <c r="A449" s="5712">
        <v>100</v>
      </c>
      <c r="B449" s="5713" t="s">
        <v>4103</v>
      </c>
      <c r="C449" s="5714" t="s">
        <v>12022</v>
      </c>
      <c r="D449" s="5715" t="s">
        <v>12023</v>
      </c>
      <c r="E449" s="5716" t="s">
        <v>155</v>
      </c>
      <c r="F449" s="5717">
        <f>SUM(F451)</f>
        <v>1</v>
      </c>
      <c r="G449" s="5718"/>
      <c r="H449" s="6002">
        <f>F449*G449</f>
        <v>0</v>
      </c>
      <c r="I449" s="5719" t="s">
        <v>60</v>
      </c>
      <c r="J449" s="5756"/>
      <c r="K449" s="1325"/>
    </row>
    <row r="450" spans="1:19" ht="27" customHeight="1">
      <c r="A450" s="5721"/>
      <c r="B450" s="5714"/>
      <c r="C450" s="5714"/>
      <c r="D450" s="5714" t="s">
        <v>11933</v>
      </c>
      <c r="E450" s="5714"/>
      <c r="F450" s="5723"/>
      <c r="G450" s="5724"/>
      <c r="H450" s="6003"/>
      <c r="I450" s="5724"/>
      <c r="J450" s="5756"/>
    </row>
    <row r="451" spans="1:19" s="660" customFormat="1" ht="13.5" customHeight="1">
      <c r="A451" s="5726"/>
      <c r="B451" s="5713"/>
      <c r="C451" s="5714"/>
      <c r="D451" s="5714" t="s">
        <v>11785</v>
      </c>
      <c r="E451" s="5714"/>
      <c r="F451" s="5619">
        <v>1</v>
      </c>
      <c r="G451" s="5724"/>
      <c r="H451" s="6003"/>
      <c r="I451" s="5724"/>
      <c r="J451" s="5736"/>
      <c r="K451" s="1618"/>
      <c r="L451" s="808"/>
      <c r="M451" s="808"/>
      <c r="N451" s="808"/>
      <c r="O451" s="808"/>
      <c r="P451" s="808"/>
      <c r="Q451" s="808"/>
      <c r="R451" s="772"/>
      <c r="S451" s="718"/>
    </row>
    <row r="452" spans="1:19" s="660" customFormat="1" ht="13.5" customHeight="1">
      <c r="A452" s="5726"/>
      <c r="B452" s="5713"/>
      <c r="C452" s="5714"/>
      <c r="D452" s="5714" t="s">
        <v>11787</v>
      </c>
      <c r="E452" s="5714"/>
      <c r="F452" s="5619"/>
      <c r="G452" s="5724"/>
      <c r="H452" s="6003"/>
      <c r="I452" s="5757"/>
      <c r="J452" s="5736"/>
      <c r="K452" s="1618"/>
      <c r="L452" s="808"/>
      <c r="M452" s="808"/>
      <c r="N452" s="808"/>
      <c r="O452" s="808"/>
      <c r="P452" s="808"/>
      <c r="Q452" s="808"/>
      <c r="R452" s="772"/>
      <c r="S452" s="718"/>
    </row>
    <row r="453" spans="1:19" s="333" customFormat="1" ht="27" customHeight="1">
      <c r="A453" s="5712">
        <v>101</v>
      </c>
      <c r="B453" s="5713" t="s">
        <v>4103</v>
      </c>
      <c r="C453" s="5714" t="s">
        <v>12024</v>
      </c>
      <c r="D453" s="5715" t="s">
        <v>12025</v>
      </c>
      <c r="E453" s="5716" t="s">
        <v>155</v>
      </c>
      <c r="F453" s="5717">
        <f>SUM(F455)</f>
        <v>1</v>
      </c>
      <c r="G453" s="5718"/>
      <c r="H453" s="6002">
        <f>F453*G453</f>
        <v>0</v>
      </c>
      <c r="I453" s="5719" t="s">
        <v>60</v>
      </c>
      <c r="J453" s="5756"/>
      <c r="K453" s="1325"/>
    </row>
    <row r="454" spans="1:19" ht="27" customHeight="1">
      <c r="A454" s="5721"/>
      <c r="B454" s="5714"/>
      <c r="C454" s="5714"/>
      <c r="D454" s="5714" t="s">
        <v>11933</v>
      </c>
      <c r="E454" s="5714"/>
      <c r="F454" s="5723"/>
      <c r="G454" s="5724"/>
      <c r="H454" s="6003"/>
      <c r="I454" s="5724"/>
      <c r="J454" s="5756"/>
    </row>
    <row r="455" spans="1:19" s="660" customFormat="1" ht="13.5" customHeight="1">
      <c r="A455" s="5726"/>
      <c r="B455" s="5713"/>
      <c r="C455" s="5714"/>
      <c r="D455" s="5714" t="s">
        <v>11785</v>
      </c>
      <c r="E455" s="5714"/>
      <c r="F455" s="5619">
        <v>1</v>
      </c>
      <c r="G455" s="5724"/>
      <c r="H455" s="6003"/>
      <c r="I455" s="5724"/>
      <c r="J455" s="5736"/>
      <c r="K455" s="1618"/>
      <c r="L455" s="808"/>
      <c r="M455" s="808"/>
      <c r="N455" s="808"/>
      <c r="O455" s="808"/>
      <c r="P455" s="808"/>
      <c r="Q455" s="808"/>
      <c r="R455" s="772"/>
      <c r="S455" s="718"/>
    </row>
    <row r="456" spans="1:19" s="660" customFormat="1" ht="13.5" customHeight="1">
      <c r="A456" s="5726"/>
      <c r="B456" s="5713"/>
      <c r="C456" s="5714"/>
      <c r="D456" s="5714" t="s">
        <v>11787</v>
      </c>
      <c r="E456" s="5714"/>
      <c r="F456" s="5619"/>
      <c r="G456" s="5724"/>
      <c r="H456" s="6003"/>
      <c r="I456" s="5757"/>
      <c r="J456" s="5736"/>
      <c r="K456" s="1618"/>
      <c r="L456" s="808"/>
      <c r="M456" s="808"/>
      <c r="N456" s="808"/>
      <c r="O456" s="808"/>
      <c r="P456" s="808"/>
      <c r="Q456" s="808"/>
      <c r="R456" s="772"/>
      <c r="S456" s="718"/>
    </row>
    <row r="457" spans="1:19" s="333" customFormat="1" ht="27" customHeight="1">
      <c r="A457" s="5712">
        <v>102</v>
      </c>
      <c r="B457" s="5713" t="s">
        <v>4103</v>
      </c>
      <c r="C457" s="5714" t="s">
        <v>12026</v>
      </c>
      <c r="D457" s="5715" t="s">
        <v>12027</v>
      </c>
      <c r="E457" s="5716" t="s">
        <v>155</v>
      </c>
      <c r="F457" s="5717">
        <f>SUM(F459)</f>
        <v>1</v>
      </c>
      <c r="G457" s="5718"/>
      <c r="H457" s="6002">
        <f>F457*G457</f>
        <v>0</v>
      </c>
      <c r="I457" s="5719" t="s">
        <v>60</v>
      </c>
      <c r="J457" s="5756"/>
      <c r="K457" s="1325"/>
    </row>
    <row r="458" spans="1:19" ht="27" customHeight="1">
      <c r="A458" s="5721"/>
      <c r="B458" s="5714"/>
      <c r="C458" s="5714"/>
      <c r="D458" s="5714" t="s">
        <v>11908</v>
      </c>
      <c r="E458" s="5714"/>
      <c r="F458" s="5723"/>
      <c r="G458" s="5724"/>
      <c r="H458" s="6003"/>
      <c r="I458" s="5724"/>
      <c r="J458" s="5756"/>
    </row>
    <row r="459" spans="1:19" s="660" customFormat="1" ht="13.5" customHeight="1">
      <c r="A459" s="5726"/>
      <c r="B459" s="5713"/>
      <c r="C459" s="5714"/>
      <c r="D459" s="5714" t="s">
        <v>11785</v>
      </c>
      <c r="E459" s="5714"/>
      <c r="F459" s="5619">
        <v>1</v>
      </c>
      <c r="G459" s="5724"/>
      <c r="H459" s="6003"/>
      <c r="I459" s="5724"/>
      <c r="J459" s="5736"/>
      <c r="K459" s="1618"/>
      <c r="L459" s="808"/>
      <c r="M459" s="808"/>
      <c r="N459" s="808"/>
      <c r="O459" s="808"/>
      <c r="P459" s="808"/>
      <c r="Q459" s="808"/>
      <c r="R459" s="772"/>
      <c r="S459" s="718"/>
    </row>
    <row r="460" spans="1:19" s="660" customFormat="1" ht="13.5" customHeight="1">
      <c r="A460" s="5726"/>
      <c r="B460" s="5713"/>
      <c r="C460" s="5714"/>
      <c r="D460" s="5714" t="s">
        <v>11787</v>
      </c>
      <c r="E460" s="5714"/>
      <c r="F460" s="5619"/>
      <c r="G460" s="5724"/>
      <c r="H460" s="6003"/>
      <c r="I460" s="5757"/>
      <c r="J460" s="5736"/>
      <c r="K460" s="1618"/>
      <c r="L460" s="808"/>
      <c r="M460" s="808"/>
      <c r="N460" s="808"/>
      <c r="O460" s="808"/>
      <c r="P460" s="808"/>
      <c r="Q460" s="808"/>
      <c r="R460" s="772"/>
      <c r="S460" s="718"/>
    </row>
    <row r="461" spans="1:19" s="333" customFormat="1" ht="27" customHeight="1">
      <c r="A461" s="5712">
        <v>103</v>
      </c>
      <c r="B461" s="5713" t="s">
        <v>4103</v>
      </c>
      <c r="C461" s="5714" t="s">
        <v>12028</v>
      </c>
      <c r="D461" s="5715" t="s">
        <v>12029</v>
      </c>
      <c r="E461" s="5716" t="s">
        <v>155</v>
      </c>
      <c r="F461" s="5717">
        <f>SUM(F463)</f>
        <v>1</v>
      </c>
      <c r="G461" s="5718"/>
      <c r="H461" s="6002">
        <f>F461*G461</f>
        <v>0</v>
      </c>
      <c r="I461" s="5719" t="s">
        <v>60</v>
      </c>
      <c r="J461" s="5756"/>
      <c r="K461" s="1325"/>
    </row>
    <row r="462" spans="1:19" ht="27" customHeight="1">
      <c r="A462" s="5721"/>
      <c r="B462" s="5714"/>
      <c r="C462" s="5714"/>
      <c r="D462" s="5714" t="s">
        <v>11966</v>
      </c>
      <c r="E462" s="5714"/>
      <c r="F462" s="5723"/>
      <c r="G462" s="5724"/>
      <c r="H462" s="6003"/>
      <c r="I462" s="5724"/>
      <c r="J462" s="5756"/>
    </row>
    <row r="463" spans="1:19" s="660" customFormat="1" ht="13.5" customHeight="1">
      <c r="A463" s="5726"/>
      <c r="B463" s="5713"/>
      <c r="C463" s="5714"/>
      <c r="D463" s="5714" t="s">
        <v>11785</v>
      </c>
      <c r="E463" s="5714"/>
      <c r="F463" s="5619">
        <v>1</v>
      </c>
      <c r="G463" s="5724"/>
      <c r="H463" s="6003"/>
      <c r="I463" s="5724"/>
      <c r="J463" s="5736"/>
      <c r="K463" s="1618"/>
      <c r="L463" s="808"/>
      <c r="M463" s="808"/>
      <c r="N463" s="808"/>
      <c r="O463" s="808"/>
      <c r="P463" s="808"/>
      <c r="Q463" s="808"/>
      <c r="R463" s="772"/>
      <c r="S463" s="718"/>
    </row>
    <row r="464" spans="1:19" s="660" customFormat="1" ht="13.5" customHeight="1">
      <c r="A464" s="5726"/>
      <c r="B464" s="5713"/>
      <c r="C464" s="5714"/>
      <c r="D464" s="5714" t="s">
        <v>11787</v>
      </c>
      <c r="E464" s="5714"/>
      <c r="F464" s="5619"/>
      <c r="G464" s="5724"/>
      <c r="H464" s="6003"/>
      <c r="I464" s="5757"/>
      <c r="J464" s="5736"/>
      <c r="K464" s="1618"/>
      <c r="L464" s="808"/>
      <c r="M464" s="808"/>
      <c r="N464" s="808"/>
      <c r="O464" s="808"/>
      <c r="P464" s="808"/>
      <c r="Q464" s="808"/>
      <c r="R464" s="772"/>
      <c r="S464" s="718"/>
    </row>
    <row r="465" spans="1:19" s="333" customFormat="1" ht="27" customHeight="1">
      <c r="A465" s="5712">
        <v>104</v>
      </c>
      <c r="B465" s="5713" t="s">
        <v>4103</v>
      </c>
      <c r="C465" s="5714" t="s">
        <v>12030</v>
      </c>
      <c r="D465" s="5715" t="s">
        <v>12031</v>
      </c>
      <c r="E465" s="5716" t="s">
        <v>155</v>
      </c>
      <c r="F465" s="5717">
        <f>SUM(F467)</f>
        <v>1</v>
      </c>
      <c r="G465" s="5718"/>
      <c r="H465" s="6002">
        <f>F465*G465</f>
        <v>0</v>
      </c>
      <c r="I465" s="5719" t="s">
        <v>60</v>
      </c>
      <c r="J465" s="5756"/>
      <c r="K465" s="1325"/>
    </row>
    <row r="466" spans="1:19" ht="27" customHeight="1">
      <c r="A466" s="5721"/>
      <c r="B466" s="5714"/>
      <c r="C466" s="5714"/>
      <c r="D466" s="5714" t="s">
        <v>11966</v>
      </c>
      <c r="E466" s="5714"/>
      <c r="F466" s="5723"/>
      <c r="G466" s="5724"/>
      <c r="H466" s="6003"/>
      <c r="I466" s="5724"/>
      <c r="J466" s="5756"/>
    </row>
    <row r="467" spans="1:19" s="660" customFormat="1" ht="13.5" customHeight="1">
      <c r="A467" s="5726"/>
      <c r="B467" s="5713"/>
      <c r="C467" s="5714"/>
      <c r="D467" s="5714" t="s">
        <v>11785</v>
      </c>
      <c r="E467" s="5714"/>
      <c r="F467" s="5619">
        <v>1</v>
      </c>
      <c r="G467" s="5724"/>
      <c r="H467" s="6003"/>
      <c r="I467" s="5724"/>
      <c r="J467" s="5736"/>
      <c r="K467" s="1618"/>
      <c r="L467" s="808"/>
      <c r="M467" s="808"/>
      <c r="N467" s="808"/>
      <c r="O467" s="808"/>
      <c r="P467" s="808"/>
      <c r="Q467" s="808"/>
      <c r="R467" s="772"/>
      <c r="S467" s="718"/>
    </row>
    <row r="468" spans="1:19" s="660" customFormat="1" ht="13.5" customHeight="1">
      <c r="A468" s="5726"/>
      <c r="B468" s="5713"/>
      <c r="C468" s="5714"/>
      <c r="D468" s="5714" t="s">
        <v>11787</v>
      </c>
      <c r="E468" s="5714"/>
      <c r="F468" s="5619"/>
      <c r="G468" s="5724"/>
      <c r="H468" s="6003"/>
      <c r="I468" s="5757"/>
      <c r="J468" s="5736"/>
      <c r="K468" s="1618"/>
      <c r="L468" s="808"/>
      <c r="M468" s="808"/>
      <c r="N468" s="808"/>
      <c r="O468" s="808"/>
      <c r="P468" s="808"/>
      <c r="Q468" s="808"/>
      <c r="R468" s="772"/>
      <c r="S468" s="718"/>
    </row>
    <row r="469" spans="1:19" s="333" customFormat="1" ht="27" customHeight="1">
      <c r="A469" s="5712">
        <v>105</v>
      </c>
      <c r="B469" s="5713" t="s">
        <v>4103</v>
      </c>
      <c r="C469" s="5714" t="s">
        <v>12032</v>
      </c>
      <c r="D469" s="5715" t="s">
        <v>12033</v>
      </c>
      <c r="E469" s="5716" t="s">
        <v>155</v>
      </c>
      <c r="F469" s="5717">
        <f>SUM(F471)</f>
        <v>1</v>
      </c>
      <c r="G469" s="5718"/>
      <c r="H469" s="6002">
        <f>F469*G469</f>
        <v>0</v>
      </c>
      <c r="I469" s="5719" t="s">
        <v>60</v>
      </c>
      <c r="J469" s="5756"/>
      <c r="K469" s="1325"/>
    </row>
    <row r="470" spans="1:19" ht="27" customHeight="1">
      <c r="A470" s="5721"/>
      <c r="B470" s="5714"/>
      <c r="C470" s="5714"/>
      <c r="D470" s="5714" t="s">
        <v>11908</v>
      </c>
      <c r="E470" s="5714"/>
      <c r="F470" s="5723"/>
      <c r="G470" s="5724"/>
      <c r="H470" s="6003"/>
      <c r="I470" s="5724"/>
      <c r="J470" s="5756"/>
    </row>
    <row r="471" spans="1:19" s="660" customFormat="1" ht="13.5" customHeight="1">
      <c r="A471" s="5726"/>
      <c r="B471" s="5713"/>
      <c r="C471" s="5714"/>
      <c r="D471" s="5714" t="s">
        <v>11785</v>
      </c>
      <c r="E471" s="5714"/>
      <c r="F471" s="5619">
        <v>1</v>
      </c>
      <c r="G471" s="5724"/>
      <c r="H471" s="6003"/>
      <c r="I471" s="5724"/>
      <c r="J471" s="5736"/>
      <c r="K471" s="1618"/>
      <c r="L471" s="808"/>
      <c r="M471" s="808"/>
      <c r="N471" s="808"/>
      <c r="O471" s="808"/>
      <c r="P471" s="808"/>
      <c r="Q471" s="808"/>
      <c r="R471" s="772"/>
      <c r="S471" s="718"/>
    </row>
    <row r="472" spans="1:19" s="660" customFormat="1" ht="13.5" customHeight="1">
      <c r="A472" s="5726"/>
      <c r="B472" s="5713"/>
      <c r="C472" s="5714"/>
      <c r="D472" s="5714" t="s">
        <v>11787</v>
      </c>
      <c r="E472" s="5714"/>
      <c r="F472" s="5619"/>
      <c r="G472" s="5724"/>
      <c r="H472" s="6003"/>
      <c r="I472" s="5757"/>
      <c r="J472" s="5736"/>
      <c r="K472" s="1618"/>
      <c r="L472" s="808"/>
      <c r="M472" s="808"/>
      <c r="N472" s="808"/>
      <c r="O472" s="808"/>
      <c r="P472" s="808"/>
      <c r="Q472" s="808"/>
      <c r="R472" s="772"/>
      <c r="S472" s="718"/>
    </row>
    <row r="473" spans="1:19" s="333" customFormat="1" ht="27" customHeight="1">
      <c r="A473" s="5712">
        <v>106</v>
      </c>
      <c r="B473" s="5713" t="s">
        <v>4103</v>
      </c>
      <c r="C473" s="5714" t="s">
        <v>12034</v>
      </c>
      <c r="D473" s="5715" t="s">
        <v>12035</v>
      </c>
      <c r="E473" s="5716" t="s">
        <v>155</v>
      </c>
      <c r="F473" s="5717">
        <f>SUM(F475)</f>
        <v>1</v>
      </c>
      <c r="G473" s="5718"/>
      <c r="H473" s="6002">
        <f>F473*G473</f>
        <v>0</v>
      </c>
      <c r="I473" s="5719" t="s">
        <v>60</v>
      </c>
      <c r="J473" s="5756"/>
      <c r="K473" s="1325"/>
    </row>
    <row r="474" spans="1:19" ht="27" customHeight="1">
      <c r="A474" s="5721"/>
      <c r="B474" s="5714"/>
      <c r="C474" s="5714"/>
      <c r="D474" s="5714" t="s">
        <v>11933</v>
      </c>
      <c r="E474" s="5714"/>
      <c r="F474" s="5723"/>
      <c r="G474" s="5724"/>
      <c r="H474" s="6003"/>
      <c r="I474" s="5724"/>
      <c r="J474" s="5756"/>
    </row>
    <row r="475" spans="1:19" s="660" customFormat="1" ht="13.5" customHeight="1">
      <c r="A475" s="5726"/>
      <c r="B475" s="5713"/>
      <c r="C475" s="5714"/>
      <c r="D475" s="5714" t="s">
        <v>11785</v>
      </c>
      <c r="E475" s="5714"/>
      <c r="F475" s="5619">
        <v>1</v>
      </c>
      <c r="G475" s="5724"/>
      <c r="H475" s="6003"/>
      <c r="I475" s="5724"/>
      <c r="J475" s="5736"/>
      <c r="K475" s="1618"/>
      <c r="L475" s="808"/>
      <c r="M475" s="808"/>
      <c r="N475" s="808"/>
      <c r="O475" s="808"/>
      <c r="P475" s="808"/>
      <c r="Q475" s="808"/>
      <c r="R475" s="772"/>
      <c r="S475" s="718"/>
    </row>
    <row r="476" spans="1:19" s="660" customFormat="1" ht="13.5" customHeight="1">
      <c r="A476" s="5726"/>
      <c r="B476" s="5713"/>
      <c r="C476" s="5714"/>
      <c r="D476" s="5714" t="s">
        <v>11787</v>
      </c>
      <c r="E476" s="5714"/>
      <c r="F476" s="5619"/>
      <c r="G476" s="5724"/>
      <c r="H476" s="6003"/>
      <c r="I476" s="5757"/>
      <c r="J476" s="5736"/>
      <c r="K476" s="1618"/>
      <c r="L476" s="808"/>
      <c r="M476" s="808"/>
      <c r="N476" s="808"/>
      <c r="O476" s="808"/>
      <c r="P476" s="808"/>
      <c r="Q476" s="808"/>
      <c r="R476" s="772"/>
      <c r="S476" s="718"/>
    </row>
    <row r="477" spans="1:19" s="333" customFormat="1" ht="27" customHeight="1">
      <c r="A477" s="5712">
        <v>107</v>
      </c>
      <c r="B477" s="5713" t="s">
        <v>4103</v>
      </c>
      <c r="C477" s="5714" t="s">
        <v>12036</v>
      </c>
      <c r="D477" s="5715" t="s">
        <v>12037</v>
      </c>
      <c r="E477" s="5716" t="s">
        <v>155</v>
      </c>
      <c r="F477" s="5717">
        <f>SUM(F479)</f>
        <v>1</v>
      </c>
      <c r="G477" s="5718"/>
      <c r="H477" s="6002">
        <f>F477*G477</f>
        <v>0</v>
      </c>
      <c r="I477" s="5719" t="s">
        <v>60</v>
      </c>
      <c r="J477" s="5756"/>
      <c r="K477" s="1325"/>
    </row>
    <row r="478" spans="1:19" ht="27" customHeight="1">
      <c r="A478" s="5721"/>
      <c r="B478" s="5714"/>
      <c r="C478" s="5714"/>
      <c r="D478" s="5714" t="s">
        <v>11933</v>
      </c>
      <c r="E478" s="5714"/>
      <c r="F478" s="5723"/>
      <c r="G478" s="5724"/>
      <c r="H478" s="6003"/>
      <c r="I478" s="5724"/>
      <c r="J478" s="5756"/>
    </row>
    <row r="479" spans="1:19" s="660" customFormat="1" ht="13.5" customHeight="1">
      <c r="A479" s="5726"/>
      <c r="B479" s="5713"/>
      <c r="C479" s="5714"/>
      <c r="D479" s="5714" t="s">
        <v>11785</v>
      </c>
      <c r="E479" s="5714"/>
      <c r="F479" s="5619">
        <v>1</v>
      </c>
      <c r="G479" s="5724"/>
      <c r="H479" s="6003"/>
      <c r="I479" s="5724"/>
      <c r="J479" s="5736"/>
      <c r="K479" s="1618"/>
      <c r="L479" s="808"/>
      <c r="M479" s="808"/>
      <c r="N479" s="808"/>
      <c r="O479" s="808"/>
      <c r="P479" s="808"/>
      <c r="Q479" s="808"/>
      <c r="R479" s="772"/>
      <c r="S479" s="718"/>
    </row>
    <row r="480" spans="1:19" s="660" customFormat="1" ht="13.5" customHeight="1">
      <c r="A480" s="5726"/>
      <c r="B480" s="5713"/>
      <c r="C480" s="5714"/>
      <c r="D480" s="5714" t="s">
        <v>11787</v>
      </c>
      <c r="E480" s="5714"/>
      <c r="F480" s="5619"/>
      <c r="G480" s="5724"/>
      <c r="H480" s="6003"/>
      <c r="I480" s="5757"/>
      <c r="J480" s="5736"/>
      <c r="K480" s="1618"/>
      <c r="L480" s="808"/>
      <c r="M480" s="808"/>
      <c r="N480" s="808"/>
      <c r="O480" s="808"/>
      <c r="P480" s="808"/>
      <c r="Q480" s="808"/>
      <c r="R480" s="772"/>
      <c r="S480" s="718"/>
    </row>
    <row r="481" spans="1:19" s="333" customFormat="1" ht="27" customHeight="1">
      <c r="A481" s="5712">
        <v>108</v>
      </c>
      <c r="B481" s="5713" t="s">
        <v>4103</v>
      </c>
      <c r="C481" s="5714" t="s">
        <v>12038</v>
      </c>
      <c r="D481" s="5715" t="s">
        <v>12039</v>
      </c>
      <c r="E481" s="5716" t="s">
        <v>155</v>
      </c>
      <c r="F481" s="5717">
        <f>SUM(F483)</f>
        <v>1</v>
      </c>
      <c r="G481" s="5718"/>
      <c r="H481" s="6002">
        <f>F481*G481</f>
        <v>0</v>
      </c>
      <c r="I481" s="5719" t="s">
        <v>60</v>
      </c>
      <c r="J481" s="5756"/>
      <c r="K481" s="1325"/>
    </row>
    <row r="482" spans="1:19" ht="27" customHeight="1">
      <c r="A482" s="5721"/>
      <c r="B482" s="5714"/>
      <c r="C482" s="5714"/>
      <c r="D482" s="5714" t="s">
        <v>11908</v>
      </c>
      <c r="E482" s="5714"/>
      <c r="F482" s="5723"/>
      <c r="G482" s="5724"/>
      <c r="H482" s="6003"/>
      <c r="I482" s="5724"/>
      <c r="J482" s="5756"/>
    </row>
    <row r="483" spans="1:19" s="660" customFormat="1" ht="13.5" customHeight="1">
      <c r="A483" s="5726"/>
      <c r="B483" s="5713"/>
      <c r="C483" s="5714"/>
      <c r="D483" s="5714" t="s">
        <v>11785</v>
      </c>
      <c r="E483" s="5714"/>
      <c r="F483" s="5619">
        <v>1</v>
      </c>
      <c r="G483" s="5724"/>
      <c r="H483" s="6003"/>
      <c r="I483" s="5724"/>
      <c r="J483" s="5736"/>
      <c r="K483" s="1618"/>
      <c r="L483" s="808"/>
      <c r="M483" s="808"/>
      <c r="N483" s="808"/>
      <c r="O483" s="808"/>
      <c r="P483" s="808"/>
      <c r="Q483" s="808"/>
      <c r="R483" s="772"/>
      <c r="S483" s="718"/>
    </row>
    <row r="484" spans="1:19" s="660" customFormat="1" ht="13.5" customHeight="1">
      <c r="A484" s="5726"/>
      <c r="B484" s="5713"/>
      <c r="C484" s="5714"/>
      <c r="D484" s="5714" t="s">
        <v>11787</v>
      </c>
      <c r="E484" s="5714"/>
      <c r="F484" s="5619"/>
      <c r="G484" s="5724"/>
      <c r="H484" s="6003"/>
      <c r="I484" s="5757"/>
      <c r="J484" s="5736"/>
      <c r="K484" s="1618"/>
      <c r="L484" s="808"/>
      <c r="M484" s="808"/>
      <c r="N484" s="808"/>
      <c r="O484" s="808"/>
      <c r="P484" s="808"/>
      <c r="Q484" s="808"/>
      <c r="R484" s="772"/>
      <c r="S484" s="718"/>
    </row>
    <row r="485" spans="1:19" s="333" customFormat="1" ht="27" customHeight="1">
      <c r="A485" s="5712">
        <v>109</v>
      </c>
      <c r="B485" s="5713" t="s">
        <v>4103</v>
      </c>
      <c r="C485" s="5714" t="s">
        <v>12040</v>
      </c>
      <c r="D485" s="5715" t="s">
        <v>12041</v>
      </c>
      <c r="E485" s="5716" t="s">
        <v>155</v>
      </c>
      <c r="F485" s="5717">
        <f>SUM(F487)</f>
        <v>1</v>
      </c>
      <c r="G485" s="5718"/>
      <c r="H485" s="6002">
        <f>F485*G485</f>
        <v>0</v>
      </c>
      <c r="I485" s="5719" t="s">
        <v>60</v>
      </c>
      <c r="J485" s="5756"/>
      <c r="K485" s="1325"/>
    </row>
    <row r="486" spans="1:19" ht="27" customHeight="1">
      <c r="A486" s="5721"/>
      <c r="B486" s="5714"/>
      <c r="C486" s="5714"/>
      <c r="D486" s="5714" t="s">
        <v>11971</v>
      </c>
      <c r="E486" s="5714"/>
      <c r="F486" s="5723"/>
      <c r="G486" s="5724"/>
      <c r="H486" s="6003"/>
      <c r="I486" s="5724"/>
      <c r="J486" s="5756"/>
    </row>
    <row r="487" spans="1:19" s="660" customFormat="1" ht="13.5" customHeight="1">
      <c r="A487" s="5726"/>
      <c r="B487" s="5713"/>
      <c r="C487" s="5714"/>
      <c r="D487" s="5714" t="s">
        <v>11785</v>
      </c>
      <c r="E487" s="5714"/>
      <c r="F487" s="5619">
        <v>1</v>
      </c>
      <c r="G487" s="5724"/>
      <c r="H487" s="6003"/>
      <c r="I487" s="5724"/>
      <c r="J487" s="5736"/>
      <c r="K487" s="1618"/>
      <c r="L487" s="808"/>
      <c r="M487" s="808"/>
      <c r="N487" s="808"/>
      <c r="O487" s="808"/>
      <c r="P487" s="808"/>
      <c r="Q487" s="808"/>
      <c r="R487" s="772"/>
      <c r="S487" s="718"/>
    </row>
    <row r="488" spans="1:19" s="660" customFormat="1" ht="13.5" customHeight="1">
      <c r="A488" s="5726"/>
      <c r="B488" s="5713"/>
      <c r="C488" s="5714"/>
      <c r="D488" s="5714" t="s">
        <v>11787</v>
      </c>
      <c r="E488" s="5714"/>
      <c r="F488" s="5619"/>
      <c r="G488" s="5724"/>
      <c r="H488" s="6003"/>
      <c r="I488" s="5757"/>
      <c r="J488" s="5736"/>
      <c r="K488" s="1618"/>
      <c r="L488" s="808"/>
      <c r="M488" s="808"/>
      <c r="N488" s="808"/>
      <c r="O488" s="808"/>
      <c r="P488" s="808"/>
      <c r="Q488" s="808"/>
      <c r="R488" s="772"/>
      <c r="S488" s="718"/>
    </row>
    <row r="489" spans="1:19" s="333" customFormat="1" ht="27" customHeight="1">
      <c r="A489" s="5712">
        <v>110</v>
      </c>
      <c r="B489" s="5713" t="s">
        <v>4103</v>
      </c>
      <c r="C489" s="5714" t="s">
        <v>12042</v>
      </c>
      <c r="D489" s="5715" t="s">
        <v>12043</v>
      </c>
      <c r="E489" s="5716" t="s">
        <v>155</v>
      </c>
      <c r="F489" s="5717">
        <f>SUM(F491)</f>
        <v>1</v>
      </c>
      <c r="G489" s="5718"/>
      <c r="H489" s="6002">
        <f>F489*G489</f>
        <v>0</v>
      </c>
      <c r="I489" s="5719" t="s">
        <v>60</v>
      </c>
      <c r="J489" s="5756"/>
      <c r="K489" s="1325"/>
    </row>
    <row r="490" spans="1:19" ht="27" customHeight="1">
      <c r="A490" s="5721"/>
      <c r="B490" s="5714"/>
      <c r="C490" s="5714"/>
      <c r="D490" s="5714" t="s">
        <v>11933</v>
      </c>
      <c r="E490" s="5714"/>
      <c r="F490" s="5723"/>
      <c r="G490" s="5724"/>
      <c r="H490" s="6003"/>
      <c r="I490" s="5724"/>
      <c r="J490" s="5756"/>
    </row>
    <row r="491" spans="1:19" s="660" customFormat="1" ht="13.5" customHeight="1">
      <c r="A491" s="5726"/>
      <c r="B491" s="5713"/>
      <c r="C491" s="5714"/>
      <c r="D491" s="5714" t="s">
        <v>11785</v>
      </c>
      <c r="E491" s="5714"/>
      <c r="F491" s="5619">
        <v>1</v>
      </c>
      <c r="G491" s="5724"/>
      <c r="H491" s="6003"/>
      <c r="I491" s="5724"/>
      <c r="J491" s="5736"/>
      <c r="K491" s="1618"/>
      <c r="L491" s="808"/>
      <c r="M491" s="808"/>
      <c r="N491" s="808"/>
      <c r="O491" s="808"/>
      <c r="P491" s="808"/>
      <c r="Q491" s="808"/>
      <c r="R491" s="772"/>
      <c r="S491" s="718"/>
    </row>
    <row r="492" spans="1:19" s="660" customFormat="1" ht="13.5" customHeight="1">
      <c r="A492" s="5726"/>
      <c r="B492" s="5713"/>
      <c r="C492" s="5714"/>
      <c r="D492" s="5714" t="s">
        <v>11787</v>
      </c>
      <c r="E492" s="5714"/>
      <c r="F492" s="5619"/>
      <c r="G492" s="5724"/>
      <c r="H492" s="6003"/>
      <c r="I492" s="5757"/>
      <c r="J492" s="5736"/>
      <c r="K492" s="1618"/>
      <c r="L492" s="808"/>
      <c r="M492" s="808"/>
      <c r="N492" s="808"/>
      <c r="O492" s="808"/>
      <c r="P492" s="808"/>
      <c r="Q492" s="808"/>
      <c r="R492" s="772"/>
      <c r="S492" s="718"/>
    </row>
    <row r="493" spans="1:19" s="333" customFormat="1" ht="27" customHeight="1">
      <c r="A493" s="5712">
        <v>111</v>
      </c>
      <c r="B493" s="5713" t="s">
        <v>4103</v>
      </c>
      <c r="C493" s="5714" t="s">
        <v>12044</v>
      </c>
      <c r="D493" s="5715" t="s">
        <v>12045</v>
      </c>
      <c r="E493" s="5716" t="s">
        <v>155</v>
      </c>
      <c r="F493" s="5717">
        <f>SUM(F495)</f>
        <v>1</v>
      </c>
      <c r="G493" s="5718"/>
      <c r="H493" s="6002">
        <f>F493*G493</f>
        <v>0</v>
      </c>
      <c r="I493" s="5719" t="s">
        <v>60</v>
      </c>
      <c r="J493" s="5756"/>
      <c r="K493" s="1325"/>
    </row>
    <row r="494" spans="1:19" ht="27" customHeight="1">
      <c r="A494" s="5721"/>
      <c r="B494" s="5714"/>
      <c r="C494" s="5714"/>
      <c r="D494" s="5714" t="s">
        <v>11933</v>
      </c>
      <c r="E494" s="5714"/>
      <c r="F494" s="5723"/>
      <c r="G494" s="5724"/>
      <c r="H494" s="6003"/>
      <c r="I494" s="5724"/>
      <c r="J494" s="5756"/>
    </row>
    <row r="495" spans="1:19" s="660" customFormat="1" ht="13.5" customHeight="1">
      <c r="A495" s="5726"/>
      <c r="B495" s="5713"/>
      <c r="C495" s="5714"/>
      <c r="D495" s="5714" t="s">
        <v>11785</v>
      </c>
      <c r="E495" s="5714"/>
      <c r="F495" s="5619">
        <v>1</v>
      </c>
      <c r="G495" s="5724"/>
      <c r="H495" s="6003"/>
      <c r="I495" s="5724"/>
      <c r="J495" s="5736"/>
      <c r="K495" s="1618"/>
      <c r="L495" s="808"/>
      <c r="M495" s="808"/>
      <c r="N495" s="808"/>
      <c r="O495" s="808"/>
      <c r="P495" s="808"/>
      <c r="Q495" s="808"/>
      <c r="R495" s="772"/>
      <c r="S495" s="718"/>
    </row>
    <row r="496" spans="1:19" s="660" customFormat="1" ht="13.5" customHeight="1">
      <c r="A496" s="5726"/>
      <c r="B496" s="5713"/>
      <c r="C496" s="5714"/>
      <c r="D496" s="5714" t="s">
        <v>11787</v>
      </c>
      <c r="E496" s="5714"/>
      <c r="F496" s="5619"/>
      <c r="G496" s="5724"/>
      <c r="H496" s="6003"/>
      <c r="I496" s="5757"/>
      <c r="J496" s="5736"/>
      <c r="K496" s="1618"/>
      <c r="L496" s="808"/>
      <c r="M496" s="808"/>
      <c r="N496" s="808"/>
      <c r="O496" s="808"/>
      <c r="P496" s="808"/>
      <c r="Q496" s="808"/>
      <c r="R496" s="772"/>
      <c r="S496" s="718"/>
    </row>
    <row r="497" spans="1:19" s="333" customFormat="1" ht="27" customHeight="1">
      <c r="A497" s="5712">
        <v>112</v>
      </c>
      <c r="B497" s="5713" t="s">
        <v>4103</v>
      </c>
      <c r="C497" s="5714" t="s">
        <v>12046</v>
      </c>
      <c r="D497" s="5715" t="s">
        <v>12047</v>
      </c>
      <c r="E497" s="5716" t="s">
        <v>155</v>
      </c>
      <c r="F497" s="5717">
        <f>SUM(F499)</f>
        <v>1</v>
      </c>
      <c r="G497" s="5718"/>
      <c r="H497" s="6002">
        <f>F497*G497</f>
        <v>0</v>
      </c>
      <c r="I497" s="5719" t="s">
        <v>60</v>
      </c>
      <c r="J497" s="5756"/>
      <c r="K497" s="1325"/>
    </row>
    <row r="498" spans="1:19" ht="27" customHeight="1">
      <c r="A498" s="5721"/>
      <c r="B498" s="5714"/>
      <c r="C498" s="5714"/>
      <c r="D498" s="5714" t="s">
        <v>11933</v>
      </c>
      <c r="E498" s="5714"/>
      <c r="F498" s="5723"/>
      <c r="G498" s="5724"/>
      <c r="H498" s="6003"/>
      <c r="I498" s="5724"/>
      <c r="J498" s="5756"/>
    </row>
    <row r="499" spans="1:19" s="660" customFormat="1" ht="13.5" customHeight="1">
      <c r="A499" s="5726"/>
      <c r="B499" s="5713"/>
      <c r="C499" s="5714"/>
      <c r="D499" s="5714" t="s">
        <v>11785</v>
      </c>
      <c r="E499" s="5714"/>
      <c r="F499" s="5619">
        <v>1</v>
      </c>
      <c r="G499" s="5724"/>
      <c r="H499" s="6003"/>
      <c r="I499" s="5724"/>
      <c r="J499" s="5736"/>
      <c r="K499" s="1618"/>
      <c r="L499" s="808"/>
      <c r="M499" s="808"/>
      <c r="N499" s="808"/>
      <c r="O499" s="808"/>
      <c r="P499" s="808"/>
      <c r="Q499" s="808"/>
      <c r="R499" s="772"/>
      <c r="S499" s="718"/>
    </row>
    <row r="500" spans="1:19" s="660" customFormat="1" ht="13.5" customHeight="1">
      <c r="A500" s="5726"/>
      <c r="B500" s="5713"/>
      <c r="C500" s="5714"/>
      <c r="D500" s="5714" t="s">
        <v>11787</v>
      </c>
      <c r="E500" s="5714"/>
      <c r="F500" s="5619"/>
      <c r="G500" s="5724"/>
      <c r="H500" s="6003"/>
      <c r="I500" s="5757"/>
      <c r="J500" s="5736"/>
      <c r="K500" s="1618"/>
      <c r="L500" s="808"/>
      <c r="M500" s="808"/>
      <c r="N500" s="808"/>
      <c r="O500" s="808"/>
      <c r="P500" s="808"/>
      <c r="Q500" s="808"/>
      <c r="R500" s="772"/>
      <c r="S500" s="718"/>
    </row>
    <row r="501" spans="1:19" s="333" customFormat="1" ht="27" customHeight="1">
      <c r="A501" s="5712">
        <v>113</v>
      </c>
      <c r="B501" s="5713" t="s">
        <v>4103</v>
      </c>
      <c r="C501" s="5714" t="s">
        <v>12048</v>
      </c>
      <c r="D501" s="5715" t="s">
        <v>12049</v>
      </c>
      <c r="E501" s="5716" t="s">
        <v>155</v>
      </c>
      <c r="F501" s="5717">
        <f>SUM(F503)</f>
        <v>1</v>
      </c>
      <c r="G501" s="5718"/>
      <c r="H501" s="6002">
        <f>F501*G501</f>
        <v>0</v>
      </c>
      <c r="I501" s="5719" t="s">
        <v>60</v>
      </c>
      <c r="J501" s="5756"/>
      <c r="K501" s="1325"/>
    </row>
    <row r="502" spans="1:19" ht="27" customHeight="1">
      <c r="A502" s="5721"/>
      <c r="B502" s="5714"/>
      <c r="C502" s="5714"/>
      <c r="D502" s="5714" t="s">
        <v>11933</v>
      </c>
      <c r="E502" s="5714"/>
      <c r="F502" s="5723"/>
      <c r="G502" s="5724"/>
      <c r="H502" s="6003"/>
      <c r="I502" s="5724"/>
      <c r="J502" s="5756"/>
    </row>
    <row r="503" spans="1:19" s="660" customFormat="1" ht="13.5" customHeight="1">
      <c r="A503" s="5726"/>
      <c r="B503" s="5713"/>
      <c r="C503" s="5714"/>
      <c r="D503" s="5714" t="s">
        <v>11796</v>
      </c>
      <c r="E503" s="5714"/>
      <c r="F503" s="5619">
        <v>1</v>
      </c>
      <c r="G503" s="5724"/>
      <c r="H503" s="6003"/>
      <c r="I503" s="5724"/>
      <c r="J503" s="5736"/>
      <c r="K503" s="1618"/>
      <c r="L503" s="808"/>
      <c r="M503" s="808"/>
      <c r="N503" s="808"/>
      <c r="O503" s="808"/>
      <c r="P503" s="808"/>
      <c r="Q503" s="808"/>
      <c r="R503" s="772"/>
      <c r="S503" s="718"/>
    </row>
    <row r="504" spans="1:19" s="660" customFormat="1" ht="13.5" customHeight="1">
      <c r="A504" s="5726"/>
      <c r="B504" s="5713"/>
      <c r="C504" s="5714"/>
      <c r="D504" s="5714" t="s">
        <v>11787</v>
      </c>
      <c r="E504" s="5714"/>
      <c r="F504" s="5619"/>
      <c r="G504" s="5724"/>
      <c r="H504" s="6003"/>
      <c r="I504" s="5757"/>
      <c r="J504" s="5736"/>
      <c r="K504" s="1618"/>
      <c r="L504" s="808"/>
      <c r="M504" s="808"/>
      <c r="N504" s="808"/>
      <c r="O504" s="808"/>
      <c r="P504" s="808"/>
      <c r="Q504" s="808"/>
      <c r="R504" s="772"/>
      <c r="S504" s="718"/>
    </row>
    <row r="505" spans="1:19" s="333" customFormat="1" ht="27" customHeight="1">
      <c r="A505" s="5712">
        <v>114</v>
      </c>
      <c r="B505" s="5713" t="s">
        <v>4103</v>
      </c>
      <c r="C505" s="5714" t="s">
        <v>12050</v>
      </c>
      <c r="D505" s="5715" t="s">
        <v>12051</v>
      </c>
      <c r="E505" s="5716" t="s">
        <v>155</v>
      </c>
      <c r="F505" s="5717">
        <f>SUM(F507)</f>
        <v>1</v>
      </c>
      <c r="G505" s="5718"/>
      <c r="H505" s="6002">
        <f>F505*G505</f>
        <v>0</v>
      </c>
      <c r="I505" s="5719" t="s">
        <v>60</v>
      </c>
      <c r="J505" s="5756"/>
      <c r="K505" s="1325"/>
    </row>
    <row r="506" spans="1:19" ht="27" customHeight="1">
      <c r="A506" s="5721"/>
      <c r="B506" s="5714"/>
      <c r="C506" s="5714"/>
      <c r="D506" s="5714" t="s">
        <v>11933</v>
      </c>
      <c r="E506" s="5714"/>
      <c r="F506" s="5723"/>
      <c r="G506" s="5724"/>
      <c r="H506" s="6003"/>
      <c r="I506" s="5724"/>
      <c r="J506" s="5756"/>
    </row>
    <row r="507" spans="1:19" s="660" customFormat="1" ht="13.5" customHeight="1">
      <c r="A507" s="5726"/>
      <c r="B507" s="5713"/>
      <c r="C507" s="5714"/>
      <c r="D507" s="5714" t="s">
        <v>11796</v>
      </c>
      <c r="E507" s="5714"/>
      <c r="F507" s="5619">
        <v>1</v>
      </c>
      <c r="G507" s="5724"/>
      <c r="H507" s="6003"/>
      <c r="I507" s="5724"/>
      <c r="J507" s="5736"/>
      <c r="K507" s="1618"/>
      <c r="L507" s="808"/>
      <c r="M507" s="808"/>
      <c r="N507" s="808"/>
      <c r="O507" s="808"/>
      <c r="P507" s="808"/>
      <c r="Q507" s="808"/>
      <c r="R507" s="772"/>
      <c r="S507" s="718"/>
    </row>
    <row r="508" spans="1:19" s="660" customFormat="1" ht="13.5" customHeight="1">
      <c r="A508" s="5726"/>
      <c r="B508" s="5713"/>
      <c r="C508" s="5714"/>
      <c r="D508" s="5714" t="s">
        <v>11787</v>
      </c>
      <c r="E508" s="5714"/>
      <c r="F508" s="5619"/>
      <c r="G508" s="5724"/>
      <c r="H508" s="6003"/>
      <c r="I508" s="5757"/>
      <c r="J508" s="5736"/>
      <c r="K508" s="1618"/>
      <c r="L508" s="808"/>
      <c r="M508" s="808"/>
      <c r="N508" s="808"/>
      <c r="O508" s="808"/>
      <c r="P508" s="808"/>
      <c r="Q508" s="808"/>
      <c r="R508" s="772"/>
      <c r="S508" s="718"/>
    </row>
    <row r="509" spans="1:19" s="333" customFormat="1" ht="27" customHeight="1">
      <c r="A509" s="5712">
        <v>115</v>
      </c>
      <c r="B509" s="5713" t="s">
        <v>4103</v>
      </c>
      <c r="C509" s="5714" t="s">
        <v>12052</v>
      </c>
      <c r="D509" s="5715" t="s">
        <v>12053</v>
      </c>
      <c r="E509" s="5716" t="s">
        <v>155</v>
      </c>
      <c r="F509" s="5717">
        <f>SUM(F511)</f>
        <v>1</v>
      </c>
      <c r="G509" s="5718"/>
      <c r="H509" s="6002">
        <f>F509*G509</f>
        <v>0</v>
      </c>
      <c r="I509" s="5719" t="s">
        <v>60</v>
      </c>
      <c r="J509" s="5756"/>
      <c r="K509" s="1325"/>
    </row>
    <row r="510" spans="1:19" ht="27" customHeight="1">
      <c r="A510" s="5721"/>
      <c r="B510" s="5714"/>
      <c r="C510" s="5714"/>
      <c r="D510" s="5714" t="s">
        <v>11933</v>
      </c>
      <c r="E510" s="5714"/>
      <c r="F510" s="5723"/>
      <c r="G510" s="5724"/>
      <c r="H510" s="6003"/>
      <c r="I510" s="5724"/>
      <c r="J510" s="5756"/>
    </row>
    <row r="511" spans="1:19" s="660" customFormat="1" ht="13.5" customHeight="1">
      <c r="A511" s="5726"/>
      <c r="B511" s="5713"/>
      <c r="C511" s="5714"/>
      <c r="D511" s="5714" t="s">
        <v>11796</v>
      </c>
      <c r="E511" s="5714"/>
      <c r="F511" s="5619">
        <v>1</v>
      </c>
      <c r="G511" s="5724"/>
      <c r="H511" s="6003"/>
      <c r="I511" s="5724"/>
      <c r="J511" s="5736"/>
      <c r="K511" s="1618"/>
      <c r="L511" s="808"/>
      <c r="M511" s="808"/>
      <c r="N511" s="808"/>
      <c r="O511" s="808"/>
      <c r="P511" s="808"/>
      <c r="Q511" s="808"/>
      <c r="R511" s="772"/>
      <c r="S511" s="718"/>
    </row>
    <row r="512" spans="1:19" s="660" customFormat="1" ht="13.5" customHeight="1">
      <c r="A512" s="5726"/>
      <c r="B512" s="5713"/>
      <c r="C512" s="5714"/>
      <c r="D512" s="5714" t="s">
        <v>11787</v>
      </c>
      <c r="E512" s="5714"/>
      <c r="F512" s="5619"/>
      <c r="G512" s="5724"/>
      <c r="H512" s="6003"/>
      <c r="I512" s="5757"/>
      <c r="J512" s="5736"/>
      <c r="K512" s="1618"/>
      <c r="L512" s="808"/>
      <c r="M512" s="808"/>
      <c r="N512" s="808"/>
      <c r="O512" s="808"/>
      <c r="P512" s="808"/>
      <c r="Q512" s="808"/>
      <c r="R512" s="772"/>
      <c r="S512" s="718"/>
    </row>
    <row r="513" spans="1:19" s="333" customFormat="1" ht="27" customHeight="1">
      <c r="A513" s="5712">
        <v>116</v>
      </c>
      <c r="B513" s="5713" t="s">
        <v>4103</v>
      </c>
      <c r="C513" s="5714" t="s">
        <v>12054</v>
      </c>
      <c r="D513" s="5715" t="s">
        <v>12055</v>
      </c>
      <c r="E513" s="5716" t="s">
        <v>155</v>
      </c>
      <c r="F513" s="5717">
        <f>SUM(F515)</f>
        <v>1</v>
      </c>
      <c r="G513" s="5718"/>
      <c r="H513" s="6002">
        <f>F513*G513</f>
        <v>0</v>
      </c>
      <c r="I513" s="5719" t="s">
        <v>60</v>
      </c>
      <c r="J513" s="5756"/>
      <c r="K513" s="1325"/>
    </row>
    <row r="514" spans="1:19" ht="27" customHeight="1">
      <c r="A514" s="5721"/>
      <c r="B514" s="5714"/>
      <c r="C514" s="5714"/>
      <c r="D514" s="5714" t="s">
        <v>11933</v>
      </c>
      <c r="E514" s="5714"/>
      <c r="F514" s="5723"/>
      <c r="G514" s="5724"/>
      <c r="H514" s="6003"/>
      <c r="I514" s="5724"/>
      <c r="J514" s="5756"/>
    </row>
    <row r="515" spans="1:19" s="660" customFormat="1" ht="13.5" customHeight="1">
      <c r="A515" s="5726"/>
      <c r="B515" s="5713"/>
      <c r="C515" s="5714"/>
      <c r="D515" s="5714" t="s">
        <v>11796</v>
      </c>
      <c r="E515" s="5714"/>
      <c r="F515" s="5619">
        <v>1</v>
      </c>
      <c r="G515" s="5724"/>
      <c r="H515" s="6003"/>
      <c r="I515" s="5724"/>
      <c r="J515" s="5736"/>
      <c r="K515" s="1618"/>
      <c r="L515" s="808"/>
      <c r="M515" s="808"/>
      <c r="N515" s="808"/>
      <c r="O515" s="808"/>
      <c r="P515" s="808"/>
      <c r="Q515" s="808"/>
      <c r="R515" s="772"/>
      <c r="S515" s="718"/>
    </row>
    <row r="516" spans="1:19" s="660" customFormat="1" ht="13.5" customHeight="1">
      <c r="A516" s="5726"/>
      <c r="B516" s="5713"/>
      <c r="C516" s="5714"/>
      <c r="D516" s="5714" t="s">
        <v>11787</v>
      </c>
      <c r="E516" s="5714"/>
      <c r="F516" s="5619"/>
      <c r="G516" s="5724"/>
      <c r="H516" s="6003"/>
      <c r="I516" s="5757"/>
      <c r="J516" s="5736"/>
      <c r="K516" s="1618"/>
      <c r="L516" s="808"/>
      <c r="M516" s="808"/>
      <c r="N516" s="808"/>
      <c r="O516" s="808"/>
      <c r="P516" s="808"/>
      <c r="Q516" s="808"/>
      <c r="R516" s="772"/>
      <c r="S516" s="718"/>
    </row>
    <row r="517" spans="1:19" s="333" customFormat="1" ht="27" customHeight="1">
      <c r="A517" s="5712">
        <v>117</v>
      </c>
      <c r="B517" s="5713" t="s">
        <v>4103</v>
      </c>
      <c r="C517" s="5714" t="s">
        <v>12056</v>
      </c>
      <c r="D517" s="5715" t="s">
        <v>12057</v>
      </c>
      <c r="E517" s="5716" t="s">
        <v>155</v>
      </c>
      <c r="F517" s="5717">
        <f>SUM(F519)</f>
        <v>1</v>
      </c>
      <c r="G517" s="5718"/>
      <c r="H517" s="6002">
        <f>F517*G517</f>
        <v>0</v>
      </c>
      <c r="I517" s="5719" t="s">
        <v>60</v>
      </c>
      <c r="J517" s="5756"/>
      <c r="K517" s="1325"/>
    </row>
    <row r="518" spans="1:19" ht="27" customHeight="1">
      <c r="A518" s="5721"/>
      <c r="B518" s="5714"/>
      <c r="C518" s="5714"/>
      <c r="D518" s="5714" t="s">
        <v>11908</v>
      </c>
      <c r="E518" s="5714"/>
      <c r="F518" s="5723"/>
      <c r="G518" s="5724"/>
      <c r="H518" s="6003"/>
      <c r="I518" s="5724"/>
      <c r="J518" s="5756"/>
    </row>
    <row r="519" spans="1:19" s="660" customFormat="1" ht="13.5" customHeight="1">
      <c r="A519" s="5726"/>
      <c r="B519" s="5713"/>
      <c r="C519" s="5714"/>
      <c r="D519" s="5714" t="s">
        <v>11796</v>
      </c>
      <c r="E519" s="5714"/>
      <c r="F519" s="5619">
        <v>1</v>
      </c>
      <c r="G519" s="5724"/>
      <c r="H519" s="6003"/>
      <c r="I519" s="5724"/>
      <c r="J519" s="5736"/>
      <c r="K519" s="1618"/>
      <c r="L519" s="808"/>
      <c r="M519" s="808"/>
      <c r="N519" s="808"/>
      <c r="O519" s="808"/>
      <c r="P519" s="808"/>
      <c r="Q519" s="808"/>
      <c r="R519" s="772"/>
      <c r="S519" s="718"/>
    </row>
    <row r="520" spans="1:19" s="660" customFormat="1" ht="13.5" customHeight="1">
      <c r="A520" s="5726"/>
      <c r="B520" s="5713"/>
      <c r="C520" s="5714"/>
      <c r="D520" s="5714" t="s">
        <v>11787</v>
      </c>
      <c r="E520" s="5714"/>
      <c r="F520" s="5619"/>
      <c r="G520" s="5724"/>
      <c r="H520" s="6003"/>
      <c r="I520" s="5757"/>
      <c r="J520" s="5736"/>
      <c r="K520" s="1618"/>
      <c r="L520" s="808"/>
      <c r="M520" s="808"/>
      <c r="N520" s="808"/>
      <c r="O520" s="808"/>
      <c r="P520" s="808"/>
      <c r="Q520" s="808"/>
      <c r="R520" s="772"/>
      <c r="S520" s="718"/>
    </row>
    <row r="521" spans="1:19" s="333" customFormat="1" ht="27" customHeight="1">
      <c r="A521" s="5712">
        <v>118</v>
      </c>
      <c r="B521" s="5713" t="s">
        <v>4103</v>
      </c>
      <c r="C521" s="5714" t="s">
        <v>12058</v>
      </c>
      <c r="D521" s="5715" t="s">
        <v>12059</v>
      </c>
      <c r="E521" s="5716" t="s">
        <v>155</v>
      </c>
      <c r="F521" s="5717">
        <f>SUM(F523)</f>
        <v>1</v>
      </c>
      <c r="G521" s="5718"/>
      <c r="H521" s="6002">
        <f>F521*G521</f>
        <v>0</v>
      </c>
      <c r="I521" s="5719" t="s">
        <v>60</v>
      </c>
      <c r="J521" s="5756"/>
      <c r="K521" s="1325"/>
    </row>
    <row r="522" spans="1:19" ht="27" customHeight="1">
      <c r="A522" s="5721"/>
      <c r="B522" s="5714"/>
      <c r="C522" s="5714"/>
      <c r="D522" s="5714" t="s">
        <v>11908</v>
      </c>
      <c r="E522" s="5714"/>
      <c r="F522" s="5723"/>
      <c r="G522" s="5724"/>
      <c r="H522" s="6003"/>
      <c r="I522" s="5724"/>
      <c r="J522" s="5756"/>
    </row>
    <row r="523" spans="1:19" s="660" customFormat="1" ht="13.5" customHeight="1">
      <c r="A523" s="5726"/>
      <c r="B523" s="5713"/>
      <c r="C523" s="5714"/>
      <c r="D523" s="5714" t="s">
        <v>11796</v>
      </c>
      <c r="E523" s="5714"/>
      <c r="F523" s="5619">
        <v>1</v>
      </c>
      <c r="G523" s="5724"/>
      <c r="H523" s="6003"/>
      <c r="I523" s="5724"/>
      <c r="J523" s="5736"/>
      <c r="K523" s="1618"/>
      <c r="L523" s="808"/>
      <c r="M523" s="808"/>
      <c r="N523" s="808"/>
      <c r="O523" s="808"/>
      <c r="P523" s="808"/>
      <c r="Q523" s="808"/>
      <c r="R523" s="772"/>
      <c r="S523" s="718"/>
    </row>
    <row r="524" spans="1:19" s="660" customFormat="1" ht="13.5" customHeight="1">
      <c r="A524" s="5726"/>
      <c r="B524" s="5713"/>
      <c r="C524" s="5714"/>
      <c r="D524" s="5714" t="s">
        <v>11787</v>
      </c>
      <c r="E524" s="5714"/>
      <c r="F524" s="5619"/>
      <c r="G524" s="5724"/>
      <c r="H524" s="6003"/>
      <c r="I524" s="5757"/>
      <c r="J524" s="5736"/>
      <c r="K524" s="1618"/>
      <c r="L524" s="808"/>
      <c r="M524" s="808"/>
      <c r="N524" s="808"/>
      <c r="O524" s="808"/>
      <c r="P524" s="808"/>
      <c r="Q524" s="808"/>
      <c r="R524" s="772"/>
      <c r="S524" s="718"/>
    </row>
    <row r="525" spans="1:19" s="333" customFormat="1" ht="27" customHeight="1">
      <c r="A525" s="5712">
        <v>119</v>
      </c>
      <c r="B525" s="5713" t="s">
        <v>4103</v>
      </c>
      <c r="C525" s="5714" t="s">
        <v>12060</v>
      </c>
      <c r="D525" s="5715" t="s">
        <v>12061</v>
      </c>
      <c r="E525" s="5716" t="s">
        <v>155</v>
      </c>
      <c r="F525" s="5717">
        <f>SUM(F527)</f>
        <v>1</v>
      </c>
      <c r="G525" s="5718"/>
      <c r="H525" s="6002">
        <f>F525*G525</f>
        <v>0</v>
      </c>
      <c r="I525" s="5719" t="s">
        <v>60</v>
      </c>
      <c r="J525" s="5756"/>
      <c r="K525" s="1325"/>
    </row>
    <row r="526" spans="1:19" ht="27" customHeight="1">
      <c r="A526" s="5721"/>
      <c r="B526" s="5714"/>
      <c r="C526" s="5714"/>
      <c r="D526" s="5714" t="s">
        <v>11908</v>
      </c>
      <c r="E526" s="5714"/>
      <c r="F526" s="5723"/>
      <c r="G526" s="5724"/>
      <c r="H526" s="6003"/>
      <c r="I526" s="5724"/>
      <c r="J526" s="5756"/>
    </row>
    <row r="527" spans="1:19" s="660" customFormat="1" ht="13.5" customHeight="1">
      <c r="A527" s="5726"/>
      <c r="B527" s="5713"/>
      <c r="C527" s="5714"/>
      <c r="D527" s="5714" t="s">
        <v>11796</v>
      </c>
      <c r="E527" s="5714"/>
      <c r="F527" s="5619">
        <v>1</v>
      </c>
      <c r="G527" s="5724"/>
      <c r="H527" s="6003"/>
      <c r="I527" s="5724"/>
      <c r="J527" s="5736"/>
      <c r="K527" s="1618"/>
      <c r="L527" s="808"/>
      <c r="M527" s="808"/>
      <c r="N527" s="808"/>
      <c r="O527" s="808"/>
      <c r="P527" s="808"/>
      <c r="Q527" s="808"/>
      <c r="R527" s="772"/>
      <c r="S527" s="718"/>
    </row>
    <row r="528" spans="1:19" s="660" customFormat="1" ht="13.5" customHeight="1">
      <c r="A528" s="5726"/>
      <c r="B528" s="5713"/>
      <c r="C528" s="5714"/>
      <c r="D528" s="5714" t="s">
        <v>11787</v>
      </c>
      <c r="E528" s="5714"/>
      <c r="F528" s="5619"/>
      <c r="G528" s="5724"/>
      <c r="H528" s="6003"/>
      <c r="I528" s="5757"/>
      <c r="J528" s="5736"/>
      <c r="K528" s="1618"/>
      <c r="L528" s="808"/>
      <c r="M528" s="808"/>
      <c r="N528" s="808"/>
      <c r="O528" s="808"/>
      <c r="P528" s="808"/>
      <c r="Q528" s="808"/>
      <c r="R528" s="772"/>
      <c r="S528" s="718"/>
    </row>
    <row r="529" spans="1:19" s="333" customFormat="1" ht="27" customHeight="1">
      <c r="A529" s="5712">
        <v>120</v>
      </c>
      <c r="B529" s="5713" t="s">
        <v>4103</v>
      </c>
      <c r="C529" s="5714" t="s">
        <v>12062</v>
      </c>
      <c r="D529" s="5715" t="s">
        <v>12063</v>
      </c>
      <c r="E529" s="5716" t="s">
        <v>155</v>
      </c>
      <c r="F529" s="5717">
        <f>SUM(F531)</f>
        <v>1</v>
      </c>
      <c r="G529" s="5718"/>
      <c r="H529" s="6002">
        <f>F529*G529</f>
        <v>0</v>
      </c>
      <c r="I529" s="5719" t="s">
        <v>60</v>
      </c>
      <c r="J529" s="5756"/>
      <c r="K529" s="1325"/>
    </row>
    <row r="530" spans="1:19" ht="27" customHeight="1">
      <c r="A530" s="5721"/>
      <c r="B530" s="5714"/>
      <c r="C530" s="5714"/>
      <c r="D530" s="5714" t="s">
        <v>11971</v>
      </c>
      <c r="E530" s="5714"/>
      <c r="F530" s="5723"/>
      <c r="G530" s="5724"/>
      <c r="H530" s="6003"/>
      <c r="I530" s="5724"/>
      <c r="J530" s="5756"/>
    </row>
    <row r="531" spans="1:19" s="660" customFormat="1" ht="13.5" customHeight="1">
      <c r="A531" s="5726"/>
      <c r="B531" s="5713"/>
      <c r="C531" s="5714"/>
      <c r="D531" s="5714" t="s">
        <v>11796</v>
      </c>
      <c r="E531" s="5714"/>
      <c r="F531" s="5619">
        <v>1</v>
      </c>
      <c r="G531" s="5724"/>
      <c r="H531" s="6003"/>
      <c r="I531" s="5724"/>
      <c r="J531" s="5736"/>
      <c r="K531" s="1618"/>
      <c r="L531" s="808"/>
      <c r="M531" s="808"/>
      <c r="N531" s="808"/>
      <c r="O531" s="808"/>
      <c r="P531" s="808"/>
      <c r="Q531" s="808"/>
      <c r="R531" s="772"/>
      <c r="S531" s="718"/>
    </row>
    <row r="532" spans="1:19" s="660" customFormat="1" ht="13.5" customHeight="1">
      <c r="A532" s="5726"/>
      <c r="B532" s="5713"/>
      <c r="C532" s="5714"/>
      <c r="D532" s="5714" t="s">
        <v>11787</v>
      </c>
      <c r="E532" s="5714"/>
      <c r="F532" s="5619"/>
      <c r="G532" s="5724"/>
      <c r="H532" s="6003"/>
      <c r="I532" s="5757"/>
      <c r="J532" s="5736"/>
      <c r="K532" s="1618"/>
      <c r="L532" s="808"/>
      <c r="M532" s="808"/>
      <c r="N532" s="808"/>
      <c r="O532" s="808"/>
      <c r="P532" s="808"/>
      <c r="Q532" s="808"/>
      <c r="R532" s="772"/>
      <c r="S532" s="718"/>
    </row>
    <row r="533" spans="1:19" s="333" customFormat="1" ht="27" customHeight="1">
      <c r="A533" s="5712">
        <v>121</v>
      </c>
      <c r="B533" s="5713" t="s">
        <v>4103</v>
      </c>
      <c r="C533" s="5714" t="s">
        <v>12064</v>
      </c>
      <c r="D533" s="5715" t="s">
        <v>12065</v>
      </c>
      <c r="E533" s="5716" t="s">
        <v>155</v>
      </c>
      <c r="F533" s="5717">
        <f>SUM(F535)</f>
        <v>1</v>
      </c>
      <c r="G533" s="5718"/>
      <c r="H533" s="6002">
        <f>F533*G533</f>
        <v>0</v>
      </c>
      <c r="I533" s="5719" t="s">
        <v>60</v>
      </c>
      <c r="J533" s="5756"/>
      <c r="K533" s="1325"/>
    </row>
    <row r="534" spans="1:19" ht="27" customHeight="1">
      <c r="A534" s="5721"/>
      <c r="B534" s="5714"/>
      <c r="C534" s="5714"/>
      <c r="D534" s="5714" t="s">
        <v>11933</v>
      </c>
      <c r="E534" s="5714"/>
      <c r="F534" s="5723"/>
      <c r="G534" s="5724"/>
      <c r="H534" s="6003"/>
      <c r="I534" s="5724"/>
      <c r="J534" s="5756"/>
    </row>
    <row r="535" spans="1:19" s="660" customFormat="1" ht="13.5" customHeight="1">
      <c r="A535" s="5726"/>
      <c r="B535" s="5713"/>
      <c r="C535" s="5714"/>
      <c r="D535" s="5714" t="s">
        <v>11796</v>
      </c>
      <c r="E535" s="5714"/>
      <c r="F535" s="5619">
        <v>1</v>
      </c>
      <c r="G535" s="5724"/>
      <c r="H535" s="6003"/>
      <c r="I535" s="5724"/>
      <c r="J535" s="5736"/>
      <c r="K535" s="1618"/>
      <c r="L535" s="808"/>
      <c r="M535" s="808"/>
      <c r="N535" s="808"/>
      <c r="O535" s="808"/>
      <c r="P535" s="808"/>
      <c r="Q535" s="808"/>
      <c r="R535" s="772"/>
      <c r="S535" s="718"/>
    </row>
    <row r="536" spans="1:19" s="660" customFormat="1" ht="13.5" customHeight="1">
      <c r="A536" s="5726"/>
      <c r="B536" s="5713"/>
      <c r="C536" s="5714"/>
      <c r="D536" s="5714" t="s">
        <v>11787</v>
      </c>
      <c r="E536" s="5714"/>
      <c r="F536" s="5619"/>
      <c r="G536" s="5724"/>
      <c r="H536" s="6003"/>
      <c r="I536" s="5757"/>
      <c r="J536" s="5736"/>
      <c r="K536" s="1618"/>
      <c r="L536" s="808"/>
      <c r="M536" s="808"/>
      <c r="N536" s="808"/>
      <c r="O536" s="808"/>
      <c r="P536" s="808"/>
      <c r="Q536" s="808"/>
      <c r="R536" s="772"/>
      <c r="S536" s="718"/>
    </row>
    <row r="537" spans="1:19" s="333" customFormat="1" ht="27" customHeight="1">
      <c r="A537" s="5712">
        <v>122</v>
      </c>
      <c r="B537" s="5713" t="s">
        <v>4103</v>
      </c>
      <c r="C537" s="5714" t="s">
        <v>12066</v>
      </c>
      <c r="D537" s="5715" t="s">
        <v>12067</v>
      </c>
      <c r="E537" s="5716" t="s">
        <v>155</v>
      </c>
      <c r="F537" s="5717">
        <f>SUM(F539)</f>
        <v>1</v>
      </c>
      <c r="G537" s="5718"/>
      <c r="H537" s="6002">
        <f>F537*G537</f>
        <v>0</v>
      </c>
      <c r="I537" s="5719" t="s">
        <v>60</v>
      </c>
      <c r="J537" s="5756"/>
      <c r="K537" s="1325"/>
    </row>
    <row r="538" spans="1:19" ht="27" customHeight="1">
      <c r="A538" s="5721"/>
      <c r="B538" s="5714"/>
      <c r="C538" s="5714"/>
      <c r="D538" s="5714" t="s">
        <v>11933</v>
      </c>
      <c r="E538" s="5714"/>
      <c r="F538" s="5723"/>
      <c r="G538" s="5724"/>
      <c r="H538" s="6003"/>
      <c r="I538" s="5724"/>
      <c r="J538" s="5756"/>
    </row>
    <row r="539" spans="1:19" s="660" customFormat="1" ht="13.5" customHeight="1">
      <c r="A539" s="5726"/>
      <c r="B539" s="5713"/>
      <c r="C539" s="5714"/>
      <c r="D539" s="5714" t="s">
        <v>11796</v>
      </c>
      <c r="E539" s="5714"/>
      <c r="F539" s="5619">
        <v>1</v>
      </c>
      <c r="G539" s="5724"/>
      <c r="H539" s="6003"/>
      <c r="I539" s="5724"/>
      <c r="J539" s="5736"/>
      <c r="K539" s="1618"/>
      <c r="L539" s="808"/>
      <c r="M539" s="808"/>
      <c r="N539" s="808"/>
      <c r="O539" s="808"/>
      <c r="P539" s="808"/>
      <c r="Q539" s="808"/>
      <c r="R539" s="772"/>
      <c r="S539" s="718"/>
    </row>
    <row r="540" spans="1:19" s="660" customFormat="1" ht="13.5" customHeight="1">
      <c r="A540" s="5726"/>
      <c r="B540" s="5713"/>
      <c r="C540" s="5714"/>
      <c r="D540" s="5714" t="s">
        <v>11787</v>
      </c>
      <c r="E540" s="5714"/>
      <c r="F540" s="5619"/>
      <c r="G540" s="5724"/>
      <c r="H540" s="6003"/>
      <c r="I540" s="5757"/>
      <c r="J540" s="5736"/>
      <c r="K540" s="1618"/>
      <c r="L540" s="808"/>
      <c r="M540" s="808"/>
      <c r="N540" s="808"/>
      <c r="O540" s="808"/>
      <c r="P540" s="808"/>
      <c r="Q540" s="808"/>
      <c r="R540" s="772"/>
      <c r="S540" s="718"/>
    </row>
    <row r="541" spans="1:19" s="333" customFormat="1" ht="27" customHeight="1">
      <c r="A541" s="5712">
        <v>123</v>
      </c>
      <c r="B541" s="5713" t="s">
        <v>4103</v>
      </c>
      <c r="C541" s="5714" t="s">
        <v>12068</v>
      </c>
      <c r="D541" s="5715" t="s">
        <v>12069</v>
      </c>
      <c r="E541" s="5716" t="s">
        <v>155</v>
      </c>
      <c r="F541" s="5717">
        <f>SUM(F543)</f>
        <v>1</v>
      </c>
      <c r="G541" s="5718"/>
      <c r="H541" s="6002">
        <f>F541*G541</f>
        <v>0</v>
      </c>
      <c r="I541" s="5719" t="s">
        <v>60</v>
      </c>
      <c r="J541" s="5756"/>
      <c r="K541" s="1325"/>
    </row>
    <row r="542" spans="1:19" ht="27" customHeight="1">
      <c r="A542" s="5721"/>
      <c r="B542" s="5714"/>
      <c r="C542" s="5714"/>
      <c r="D542" s="5714" t="s">
        <v>11933</v>
      </c>
      <c r="E542" s="5714"/>
      <c r="F542" s="5723"/>
      <c r="G542" s="5724"/>
      <c r="H542" s="6003"/>
      <c r="I542" s="5724"/>
      <c r="J542" s="5756"/>
    </row>
    <row r="543" spans="1:19" s="660" customFormat="1" ht="13.5" customHeight="1">
      <c r="A543" s="5726"/>
      <c r="B543" s="5713"/>
      <c r="C543" s="5714"/>
      <c r="D543" s="5714" t="s">
        <v>11796</v>
      </c>
      <c r="E543" s="5714"/>
      <c r="F543" s="5619">
        <v>1</v>
      </c>
      <c r="G543" s="5724"/>
      <c r="H543" s="6003"/>
      <c r="I543" s="5724"/>
      <c r="J543" s="5736"/>
      <c r="K543" s="1618"/>
      <c r="L543" s="808"/>
      <c r="M543" s="808"/>
      <c r="N543" s="808"/>
      <c r="O543" s="808"/>
      <c r="P543" s="808"/>
      <c r="Q543" s="808"/>
      <c r="R543" s="772"/>
      <c r="S543" s="718"/>
    </row>
    <row r="544" spans="1:19" s="660" customFormat="1" ht="13.5" customHeight="1">
      <c r="A544" s="5726"/>
      <c r="B544" s="5713"/>
      <c r="C544" s="5714"/>
      <c r="D544" s="5714" t="s">
        <v>11787</v>
      </c>
      <c r="E544" s="5714"/>
      <c r="F544" s="5619"/>
      <c r="G544" s="5724"/>
      <c r="H544" s="6003"/>
      <c r="I544" s="5757"/>
      <c r="J544" s="5736"/>
      <c r="K544" s="1618"/>
      <c r="L544" s="808"/>
      <c r="M544" s="808"/>
      <c r="N544" s="808"/>
      <c r="O544" s="808"/>
      <c r="P544" s="808"/>
      <c r="Q544" s="808"/>
      <c r="R544" s="772"/>
      <c r="S544" s="718"/>
    </row>
    <row r="545" spans="1:19" s="333" customFormat="1" ht="27" customHeight="1">
      <c r="A545" s="5712">
        <v>124</v>
      </c>
      <c r="B545" s="5713" t="s">
        <v>4103</v>
      </c>
      <c r="C545" s="5714" t="s">
        <v>12070</v>
      </c>
      <c r="D545" s="5715" t="s">
        <v>12071</v>
      </c>
      <c r="E545" s="5716" t="s">
        <v>155</v>
      </c>
      <c r="F545" s="5717">
        <f>SUM(F547)</f>
        <v>1</v>
      </c>
      <c r="G545" s="5718"/>
      <c r="H545" s="6002">
        <f>F545*G545</f>
        <v>0</v>
      </c>
      <c r="I545" s="5719" t="s">
        <v>60</v>
      </c>
      <c r="J545" s="5756"/>
      <c r="K545" s="1325"/>
    </row>
    <row r="546" spans="1:19" ht="27" customHeight="1">
      <c r="A546" s="5721"/>
      <c r="B546" s="5714"/>
      <c r="C546" s="5714"/>
      <c r="D546" s="5714" t="s">
        <v>11971</v>
      </c>
      <c r="E546" s="5714"/>
      <c r="F546" s="5723"/>
      <c r="G546" s="5724"/>
      <c r="H546" s="6003"/>
      <c r="I546" s="5724"/>
      <c r="J546" s="5756"/>
    </row>
    <row r="547" spans="1:19" s="660" customFormat="1" ht="13.5" customHeight="1">
      <c r="A547" s="5726"/>
      <c r="B547" s="5713"/>
      <c r="C547" s="5714"/>
      <c r="D547" s="5714" t="s">
        <v>11796</v>
      </c>
      <c r="E547" s="5714"/>
      <c r="F547" s="5619">
        <v>1</v>
      </c>
      <c r="G547" s="5724"/>
      <c r="H547" s="6003"/>
      <c r="I547" s="5724"/>
      <c r="J547" s="5736"/>
      <c r="K547" s="1618"/>
      <c r="L547" s="808"/>
      <c r="M547" s="808"/>
      <c r="N547" s="808"/>
      <c r="O547" s="808"/>
      <c r="P547" s="808"/>
      <c r="Q547" s="808"/>
      <c r="R547" s="772"/>
      <c r="S547" s="718"/>
    </row>
    <row r="548" spans="1:19" s="660" customFormat="1" ht="13.5" customHeight="1">
      <c r="A548" s="5726"/>
      <c r="B548" s="5713"/>
      <c r="C548" s="5714"/>
      <c r="D548" s="5714" t="s">
        <v>11787</v>
      </c>
      <c r="E548" s="5714"/>
      <c r="F548" s="5619"/>
      <c r="G548" s="5724"/>
      <c r="H548" s="6003"/>
      <c r="I548" s="5757"/>
      <c r="J548" s="5736"/>
      <c r="K548" s="1618"/>
      <c r="L548" s="808"/>
      <c r="M548" s="808"/>
      <c r="N548" s="808"/>
      <c r="O548" s="808"/>
      <c r="P548" s="808"/>
      <c r="Q548" s="808"/>
      <c r="R548" s="772"/>
      <c r="S548" s="718"/>
    </row>
    <row r="549" spans="1:19" s="333" customFormat="1" ht="27" customHeight="1">
      <c r="A549" s="5712">
        <v>125</v>
      </c>
      <c r="B549" s="5713" t="s">
        <v>4103</v>
      </c>
      <c r="C549" s="5714" t="s">
        <v>12072</v>
      </c>
      <c r="D549" s="5715" t="s">
        <v>12073</v>
      </c>
      <c r="E549" s="5716" t="s">
        <v>155</v>
      </c>
      <c r="F549" s="5717">
        <f>SUM(F551)</f>
        <v>1</v>
      </c>
      <c r="G549" s="5718"/>
      <c r="H549" s="6002">
        <f>F549*G549</f>
        <v>0</v>
      </c>
      <c r="I549" s="5719" t="s">
        <v>60</v>
      </c>
      <c r="J549" s="5756"/>
      <c r="K549" s="1325"/>
    </row>
    <row r="550" spans="1:19" ht="27" customHeight="1">
      <c r="A550" s="5721"/>
      <c r="B550" s="5714"/>
      <c r="C550" s="5714"/>
      <c r="D550" s="5714" t="s">
        <v>11971</v>
      </c>
      <c r="E550" s="5714"/>
      <c r="F550" s="5723"/>
      <c r="G550" s="5724"/>
      <c r="H550" s="6003"/>
      <c r="I550" s="5724"/>
      <c r="J550" s="5756"/>
    </row>
    <row r="551" spans="1:19" s="660" customFormat="1" ht="13.5" customHeight="1">
      <c r="A551" s="5726"/>
      <c r="B551" s="5713"/>
      <c r="C551" s="5714"/>
      <c r="D551" s="5714" t="s">
        <v>11796</v>
      </c>
      <c r="E551" s="5714"/>
      <c r="F551" s="5619">
        <v>1</v>
      </c>
      <c r="G551" s="5724"/>
      <c r="H551" s="6003"/>
      <c r="I551" s="5724"/>
      <c r="J551" s="5736"/>
      <c r="K551" s="1618"/>
      <c r="L551" s="808"/>
      <c r="M551" s="808"/>
      <c r="N551" s="808"/>
      <c r="O551" s="808"/>
      <c r="P551" s="808"/>
      <c r="Q551" s="808"/>
      <c r="R551" s="772"/>
      <c r="S551" s="718"/>
    </row>
    <row r="552" spans="1:19" s="660" customFormat="1" ht="13.5" customHeight="1">
      <c r="A552" s="5726"/>
      <c r="B552" s="5713"/>
      <c r="C552" s="5714"/>
      <c r="D552" s="5714" t="s">
        <v>11787</v>
      </c>
      <c r="E552" s="5714"/>
      <c r="F552" s="5619"/>
      <c r="G552" s="5724"/>
      <c r="H552" s="6003"/>
      <c r="I552" s="5757"/>
      <c r="J552" s="5736"/>
      <c r="K552" s="1618"/>
      <c r="L552" s="808"/>
      <c r="M552" s="808"/>
      <c r="N552" s="808"/>
      <c r="O552" s="808"/>
      <c r="P552" s="808"/>
      <c r="Q552" s="808"/>
      <c r="R552" s="772"/>
      <c r="S552" s="718"/>
    </row>
    <row r="553" spans="1:19" s="333" customFormat="1" ht="27" customHeight="1">
      <c r="A553" s="5712">
        <v>126</v>
      </c>
      <c r="B553" s="5713" t="s">
        <v>4103</v>
      </c>
      <c r="C553" s="5714" t="s">
        <v>12074</v>
      </c>
      <c r="D553" s="5715" t="s">
        <v>12075</v>
      </c>
      <c r="E553" s="5716" t="s">
        <v>155</v>
      </c>
      <c r="F553" s="5717">
        <f>SUM(F555)</f>
        <v>1</v>
      </c>
      <c r="G553" s="5718"/>
      <c r="H553" s="6002">
        <f>F553*G553</f>
        <v>0</v>
      </c>
      <c r="I553" s="5719" t="s">
        <v>60</v>
      </c>
      <c r="J553" s="5756"/>
      <c r="K553" s="1325"/>
    </row>
    <row r="554" spans="1:19" ht="27" customHeight="1">
      <c r="A554" s="5721"/>
      <c r="B554" s="5714"/>
      <c r="C554" s="5714"/>
      <c r="D554" s="5714" t="s">
        <v>11908</v>
      </c>
      <c r="E554" s="5714"/>
      <c r="F554" s="5723"/>
      <c r="G554" s="5724"/>
      <c r="H554" s="6003"/>
      <c r="I554" s="5724"/>
      <c r="J554" s="5756"/>
    </row>
    <row r="555" spans="1:19" s="660" customFormat="1" ht="13.5" customHeight="1">
      <c r="A555" s="5726"/>
      <c r="B555" s="5713"/>
      <c r="C555" s="5714"/>
      <c r="D555" s="5714" t="s">
        <v>11796</v>
      </c>
      <c r="E555" s="5714"/>
      <c r="F555" s="5619">
        <v>1</v>
      </c>
      <c r="G555" s="5724"/>
      <c r="H555" s="6003"/>
      <c r="I555" s="5724"/>
      <c r="J555" s="5736"/>
      <c r="K555" s="1618"/>
      <c r="L555" s="808"/>
      <c r="M555" s="808"/>
      <c r="N555" s="808"/>
      <c r="O555" s="808"/>
      <c r="P555" s="808"/>
      <c r="Q555" s="808"/>
      <c r="R555" s="772"/>
      <c r="S555" s="718"/>
    </row>
    <row r="556" spans="1:19" s="660" customFormat="1" ht="13.5" customHeight="1">
      <c r="A556" s="5726"/>
      <c r="B556" s="5713"/>
      <c r="C556" s="5714"/>
      <c r="D556" s="5714" t="s">
        <v>11787</v>
      </c>
      <c r="E556" s="5714"/>
      <c r="F556" s="5619"/>
      <c r="G556" s="5724"/>
      <c r="H556" s="6003"/>
      <c r="I556" s="5757"/>
      <c r="J556" s="5736"/>
      <c r="K556" s="1618"/>
      <c r="L556" s="808"/>
      <c r="M556" s="808"/>
      <c r="N556" s="808"/>
      <c r="O556" s="808"/>
      <c r="P556" s="808"/>
      <c r="Q556" s="808"/>
      <c r="R556" s="772"/>
      <c r="S556" s="718"/>
    </row>
    <row r="557" spans="1:19" s="333" customFormat="1" ht="27" customHeight="1">
      <c r="A557" s="5712">
        <v>127</v>
      </c>
      <c r="B557" s="5713" t="s">
        <v>4103</v>
      </c>
      <c r="C557" s="5714" t="s">
        <v>12076</v>
      </c>
      <c r="D557" s="5715" t="s">
        <v>12077</v>
      </c>
      <c r="E557" s="5716" t="s">
        <v>155</v>
      </c>
      <c r="F557" s="5717">
        <f>SUM(F559)</f>
        <v>1</v>
      </c>
      <c r="G557" s="5718"/>
      <c r="H557" s="6002">
        <f>F557*G557</f>
        <v>0</v>
      </c>
      <c r="I557" s="5719" t="s">
        <v>60</v>
      </c>
      <c r="J557" s="5756"/>
      <c r="K557" s="1325"/>
    </row>
    <row r="558" spans="1:19" ht="27" customHeight="1">
      <c r="A558" s="5721"/>
      <c r="B558" s="5714"/>
      <c r="C558" s="5714"/>
      <c r="D558" s="5714" t="s">
        <v>11908</v>
      </c>
      <c r="E558" s="5714"/>
      <c r="F558" s="5723"/>
      <c r="G558" s="5724"/>
      <c r="H558" s="6003"/>
      <c r="I558" s="5724"/>
      <c r="J558" s="5756"/>
    </row>
    <row r="559" spans="1:19" s="660" customFormat="1" ht="13.5" customHeight="1">
      <c r="A559" s="5726"/>
      <c r="B559" s="5713"/>
      <c r="C559" s="5714"/>
      <c r="D559" s="5714" t="s">
        <v>11796</v>
      </c>
      <c r="E559" s="5714"/>
      <c r="F559" s="5619">
        <v>1</v>
      </c>
      <c r="G559" s="5724"/>
      <c r="H559" s="6003"/>
      <c r="I559" s="5724"/>
      <c r="J559" s="5736"/>
      <c r="K559" s="1618"/>
      <c r="L559" s="808"/>
      <c r="M559" s="808"/>
      <c r="N559" s="808"/>
      <c r="O559" s="808"/>
      <c r="P559" s="808"/>
      <c r="Q559" s="808"/>
      <c r="R559" s="772"/>
      <c r="S559" s="718"/>
    </row>
    <row r="560" spans="1:19" s="660" customFormat="1" ht="13.5" customHeight="1">
      <c r="A560" s="5726"/>
      <c r="B560" s="5713"/>
      <c r="C560" s="5714"/>
      <c r="D560" s="5714" t="s">
        <v>11787</v>
      </c>
      <c r="E560" s="5714"/>
      <c r="F560" s="5619"/>
      <c r="G560" s="5724"/>
      <c r="H560" s="6003"/>
      <c r="I560" s="5757"/>
      <c r="J560" s="5736"/>
      <c r="K560" s="1618"/>
      <c r="L560" s="808"/>
      <c r="M560" s="808"/>
      <c r="N560" s="808"/>
      <c r="O560" s="808"/>
      <c r="P560" s="808"/>
      <c r="Q560" s="808"/>
      <c r="R560" s="772"/>
      <c r="S560" s="718"/>
    </row>
    <row r="561" spans="1:19" s="333" customFormat="1" ht="27" customHeight="1">
      <c r="A561" s="5712">
        <v>128</v>
      </c>
      <c r="B561" s="5713" t="s">
        <v>4103</v>
      </c>
      <c r="C561" s="5714" t="s">
        <v>12078</v>
      </c>
      <c r="D561" s="5715" t="s">
        <v>12079</v>
      </c>
      <c r="E561" s="5716" t="s">
        <v>155</v>
      </c>
      <c r="F561" s="5717">
        <f>SUM(F563)</f>
        <v>1</v>
      </c>
      <c r="G561" s="5718"/>
      <c r="H561" s="6002">
        <f>F561*G561</f>
        <v>0</v>
      </c>
      <c r="I561" s="5719" t="s">
        <v>60</v>
      </c>
      <c r="J561" s="5756"/>
      <c r="K561" s="1325"/>
    </row>
    <row r="562" spans="1:19" ht="27" customHeight="1">
      <c r="A562" s="5721"/>
      <c r="B562" s="5714"/>
      <c r="C562" s="5714"/>
      <c r="D562" s="5714" t="s">
        <v>11908</v>
      </c>
      <c r="E562" s="5714"/>
      <c r="F562" s="5723"/>
      <c r="G562" s="5724"/>
      <c r="H562" s="6003"/>
      <c r="I562" s="5724"/>
      <c r="J562" s="5756"/>
    </row>
    <row r="563" spans="1:19" s="660" customFormat="1" ht="13.5" customHeight="1">
      <c r="A563" s="5726"/>
      <c r="B563" s="5713"/>
      <c r="C563" s="5714"/>
      <c r="D563" s="5714" t="s">
        <v>11796</v>
      </c>
      <c r="E563" s="5714"/>
      <c r="F563" s="5619">
        <v>1</v>
      </c>
      <c r="G563" s="5724"/>
      <c r="H563" s="6003"/>
      <c r="I563" s="5724"/>
      <c r="J563" s="5736"/>
      <c r="K563" s="1618"/>
      <c r="L563" s="808"/>
      <c r="M563" s="808"/>
      <c r="N563" s="808"/>
      <c r="O563" s="808"/>
      <c r="P563" s="808"/>
      <c r="Q563" s="808"/>
      <c r="R563" s="772"/>
      <c r="S563" s="718"/>
    </row>
    <row r="564" spans="1:19" s="660" customFormat="1" ht="13.5" customHeight="1">
      <c r="A564" s="5726"/>
      <c r="B564" s="5713"/>
      <c r="C564" s="5714"/>
      <c r="D564" s="5714" t="s">
        <v>11787</v>
      </c>
      <c r="E564" s="5714"/>
      <c r="F564" s="5619"/>
      <c r="G564" s="5724"/>
      <c r="H564" s="6003"/>
      <c r="I564" s="5757"/>
      <c r="J564" s="5736"/>
      <c r="K564" s="1618"/>
      <c r="L564" s="808"/>
      <c r="M564" s="808"/>
      <c r="N564" s="808"/>
      <c r="O564" s="808"/>
      <c r="P564" s="808"/>
      <c r="Q564" s="808"/>
      <c r="R564" s="772"/>
      <c r="S564" s="718"/>
    </row>
    <row r="565" spans="1:19" s="333" customFormat="1" ht="27" customHeight="1">
      <c r="A565" s="5712">
        <v>129</v>
      </c>
      <c r="B565" s="5713" t="s">
        <v>4103</v>
      </c>
      <c r="C565" s="5714" t="s">
        <v>12080</v>
      </c>
      <c r="D565" s="5715" t="s">
        <v>12081</v>
      </c>
      <c r="E565" s="5716" t="s">
        <v>155</v>
      </c>
      <c r="F565" s="5717">
        <f>SUM(F567)</f>
        <v>1</v>
      </c>
      <c r="G565" s="5718"/>
      <c r="H565" s="6002">
        <f>F565*G565</f>
        <v>0</v>
      </c>
      <c r="I565" s="5719" t="s">
        <v>60</v>
      </c>
      <c r="J565" s="5756"/>
      <c r="K565" s="1325"/>
    </row>
    <row r="566" spans="1:19" ht="27" customHeight="1">
      <c r="A566" s="5721"/>
      <c r="B566" s="5714"/>
      <c r="C566" s="5714"/>
      <c r="D566" s="5714" t="s">
        <v>11908</v>
      </c>
      <c r="E566" s="5714"/>
      <c r="F566" s="5723"/>
      <c r="G566" s="5724"/>
      <c r="H566" s="6003"/>
      <c r="I566" s="5724"/>
      <c r="J566" s="5756"/>
    </row>
    <row r="567" spans="1:19" s="660" customFormat="1" ht="13.5" customHeight="1">
      <c r="A567" s="5726"/>
      <c r="B567" s="5713"/>
      <c r="C567" s="5714"/>
      <c r="D567" s="5714" t="s">
        <v>11796</v>
      </c>
      <c r="E567" s="5714"/>
      <c r="F567" s="5619">
        <v>1</v>
      </c>
      <c r="G567" s="5724"/>
      <c r="H567" s="6003"/>
      <c r="I567" s="5724"/>
      <c r="J567" s="5736"/>
      <c r="K567" s="1618"/>
      <c r="L567" s="808"/>
      <c r="M567" s="808"/>
      <c r="N567" s="808"/>
      <c r="O567" s="808"/>
      <c r="P567" s="808"/>
      <c r="Q567" s="808"/>
      <c r="R567" s="772"/>
      <c r="S567" s="718"/>
    </row>
    <row r="568" spans="1:19" s="660" customFormat="1" ht="13.5" customHeight="1">
      <c r="A568" s="5726"/>
      <c r="B568" s="5713"/>
      <c r="C568" s="5714"/>
      <c r="D568" s="5714" t="s">
        <v>11787</v>
      </c>
      <c r="E568" s="5714"/>
      <c r="F568" s="5619"/>
      <c r="G568" s="5724"/>
      <c r="H568" s="6003"/>
      <c r="I568" s="5757"/>
      <c r="J568" s="5736"/>
      <c r="K568" s="1618"/>
      <c r="L568" s="808"/>
      <c r="M568" s="808"/>
      <c r="N568" s="808"/>
      <c r="O568" s="808"/>
      <c r="P568" s="808"/>
      <c r="Q568" s="808"/>
      <c r="R568" s="772"/>
      <c r="S568" s="718"/>
    </row>
    <row r="569" spans="1:19" s="333" customFormat="1" ht="27" customHeight="1">
      <c r="A569" s="5712">
        <v>130</v>
      </c>
      <c r="B569" s="5713" t="s">
        <v>4103</v>
      </c>
      <c r="C569" s="5714" t="s">
        <v>12082</v>
      </c>
      <c r="D569" s="5715" t="s">
        <v>12083</v>
      </c>
      <c r="E569" s="5716" t="s">
        <v>155</v>
      </c>
      <c r="F569" s="5717">
        <f>SUM(F571)</f>
        <v>1</v>
      </c>
      <c r="G569" s="5718"/>
      <c r="H569" s="6002">
        <f>F569*G569</f>
        <v>0</v>
      </c>
      <c r="I569" s="5719" t="s">
        <v>60</v>
      </c>
      <c r="J569" s="5756"/>
      <c r="K569" s="1325"/>
    </row>
    <row r="570" spans="1:19" ht="27" customHeight="1">
      <c r="A570" s="5721"/>
      <c r="B570" s="5714"/>
      <c r="C570" s="5714"/>
      <c r="D570" s="5714" t="s">
        <v>11933</v>
      </c>
      <c r="E570" s="5714"/>
      <c r="F570" s="5723"/>
      <c r="G570" s="5724"/>
      <c r="H570" s="6003"/>
      <c r="I570" s="5724"/>
      <c r="J570" s="5756"/>
    </row>
    <row r="571" spans="1:19" s="660" customFormat="1" ht="13.5" customHeight="1">
      <c r="A571" s="5726"/>
      <c r="B571" s="5713"/>
      <c r="C571" s="5714"/>
      <c r="D571" s="5714" t="s">
        <v>11796</v>
      </c>
      <c r="E571" s="5714"/>
      <c r="F571" s="5619">
        <v>1</v>
      </c>
      <c r="G571" s="5724"/>
      <c r="H571" s="6003"/>
      <c r="I571" s="5724"/>
      <c r="J571" s="5736"/>
      <c r="K571" s="1618"/>
      <c r="L571" s="808"/>
      <c r="M571" s="808"/>
      <c r="N571" s="808"/>
      <c r="O571" s="808"/>
      <c r="P571" s="808"/>
      <c r="Q571" s="808"/>
      <c r="R571" s="772"/>
      <c r="S571" s="718"/>
    </row>
    <row r="572" spans="1:19" s="660" customFormat="1" ht="13.5" customHeight="1">
      <c r="A572" s="5726"/>
      <c r="B572" s="5713"/>
      <c r="C572" s="5714"/>
      <c r="D572" s="5714" t="s">
        <v>11787</v>
      </c>
      <c r="E572" s="5714"/>
      <c r="F572" s="5619"/>
      <c r="G572" s="5724"/>
      <c r="H572" s="6003"/>
      <c r="I572" s="5757"/>
      <c r="J572" s="5736"/>
      <c r="K572" s="1618"/>
      <c r="L572" s="808"/>
      <c r="M572" s="808"/>
      <c r="N572" s="808"/>
      <c r="O572" s="808"/>
      <c r="P572" s="808"/>
      <c r="Q572" s="808"/>
      <c r="R572" s="772"/>
      <c r="S572" s="718"/>
    </row>
    <row r="573" spans="1:19" s="333" customFormat="1" ht="27" customHeight="1">
      <c r="A573" s="5712">
        <v>131</v>
      </c>
      <c r="B573" s="5713" t="s">
        <v>4103</v>
      </c>
      <c r="C573" s="5714" t="s">
        <v>12084</v>
      </c>
      <c r="D573" s="5715" t="s">
        <v>12085</v>
      </c>
      <c r="E573" s="5716" t="s">
        <v>155</v>
      </c>
      <c r="F573" s="5717">
        <f>SUM(F575)</f>
        <v>1</v>
      </c>
      <c r="G573" s="5718"/>
      <c r="H573" s="6002">
        <f>F573*G573</f>
        <v>0</v>
      </c>
      <c r="I573" s="5719" t="s">
        <v>60</v>
      </c>
      <c r="J573" s="5756"/>
      <c r="K573" s="1325"/>
    </row>
    <row r="574" spans="1:19" ht="27" customHeight="1">
      <c r="A574" s="5721"/>
      <c r="B574" s="5714"/>
      <c r="C574" s="5714"/>
      <c r="D574" s="5714" t="s">
        <v>11971</v>
      </c>
      <c r="E574" s="5714"/>
      <c r="F574" s="5723"/>
      <c r="G574" s="5724"/>
      <c r="H574" s="6003"/>
      <c r="I574" s="5724"/>
      <c r="J574" s="5756"/>
    </row>
    <row r="575" spans="1:19" s="660" customFormat="1" ht="13.5" customHeight="1">
      <c r="A575" s="5726"/>
      <c r="B575" s="5713"/>
      <c r="C575" s="5714"/>
      <c r="D575" s="5714" t="s">
        <v>11796</v>
      </c>
      <c r="E575" s="5714"/>
      <c r="F575" s="5619">
        <v>1</v>
      </c>
      <c r="G575" s="5724"/>
      <c r="H575" s="6003"/>
      <c r="I575" s="5724"/>
      <c r="J575" s="5736"/>
      <c r="K575" s="1618"/>
      <c r="L575" s="808"/>
      <c r="M575" s="808"/>
      <c r="N575" s="808"/>
      <c r="O575" s="808"/>
      <c r="P575" s="808"/>
      <c r="Q575" s="808"/>
      <c r="R575" s="772"/>
      <c r="S575" s="718"/>
    </row>
    <row r="576" spans="1:19" s="660" customFormat="1" ht="13.5" customHeight="1">
      <c r="A576" s="5726"/>
      <c r="B576" s="5713"/>
      <c r="C576" s="5714"/>
      <c r="D576" s="5714" t="s">
        <v>11787</v>
      </c>
      <c r="E576" s="5714"/>
      <c r="F576" s="5619"/>
      <c r="G576" s="5724"/>
      <c r="H576" s="6003"/>
      <c r="I576" s="5757"/>
      <c r="J576" s="5736"/>
      <c r="K576" s="1618"/>
      <c r="L576" s="808"/>
      <c r="M576" s="808"/>
      <c r="N576" s="808"/>
      <c r="O576" s="808"/>
      <c r="P576" s="808"/>
      <c r="Q576" s="808"/>
      <c r="R576" s="772"/>
      <c r="S576" s="718"/>
    </row>
    <row r="577" spans="1:19" s="333" customFormat="1" ht="27" customHeight="1">
      <c r="A577" s="5712">
        <v>132</v>
      </c>
      <c r="B577" s="5713" t="s">
        <v>4103</v>
      </c>
      <c r="C577" s="5714" t="s">
        <v>12086</v>
      </c>
      <c r="D577" s="5715" t="s">
        <v>12087</v>
      </c>
      <c r="E577" s="5716" t="s">
        <v>155</v>
      </c>
      <c r="F577" s="5717">
        <f>SUM(F579)</f>
        <v>1</v>
      </c>
      <c r="G577" s="5718"/>
      <c r="H577" s="6002">
        <f>F577*G577</f>
        <v>0</v>
      </c>
      <c r="I577" s="5719" t="s">
        <v>60</v>
      </c>
      <c r="J577" s="5756"/>
      <c r="K577" s="1325"/>
    </row>
    <row r="578" spans="1:19" ht="27" customHeight="1">
      <c r="A578" s="5721"/>
      <c r="B578" s="5714"/>
      <c r="C578" s="5714"/>
      <c r="D578" s="5714" t="s">
        <v>11971</v>
      </c>
      <c r="E578" s="5714"/>
      <c r="F578" s="5723"/>
      <c r="G578" s="5724"/>
      <c r="H578" s="6003"/>
      <c r="I578" s="5724"/>
      <c r="J578" s="5756"/>
    </row>
    <row r="579" spans="1:19" s="660" customFormat="1" ht="13.5" customHeight="1">
      <c r="A579" s="5726"/>
      <c r="B579" s="5713"/>
      <c r="C579" s="5714"/>
      <c r="D579" s="5714" t="s">
        <v>11796</v>
      </c>
      <c r="E579" s="5714"/>
      <c r="F579" s="5619">
        <v>1</v>
      </c>
      <c r="G579" s="5724"/>
      <c r="H579" s="6003"/>
      <c r="I579" s="5724"/>
      <c r="J579" s="5736"/>
      <c r="K579" s="1618"/>
      <c r="L579" s="808"/>
      <c r="M579" s="808"/>
      <c r="N579" s="808"/>
      <c r="O579" s="808"/>
      <c r="P579" s="808"/>
      <c r="Q579" s="808"/>
      <c r="R579" s="772"/>
      <c r="S579" s="718"/>
    </row>
    <row r="580" spans="1:19" s="660" customFormat="1" ht="13.5" customHeight="1">
      <c r="A580" s="5726"/>
      <c r="B580" s="5713"/>
      <c r="C580" s="5714"/>
      <c r="D580" s="5714" t="s">
        <v>11787</v>
      </c>
      <c r="E580" s="5714"/>
      <c r="F580" s="5619"/>
      <c r="G580" s="5724"/>
      <c r="H580" s="6003"/>
      <c r="I580" s="5757"/>
      <c r="J580" s="5736"/>
      <c r="K580" s="1618"/>
      <c r="L580" s="808"/>
      <c r="M580" s="808"/>
      <c r="N580" s="808"/>
      <c r="O580" s="808"/>
      <c r="P580" s="808"/>
      <c r="Q580" s="808"/>
      <c r="R580" s="772"/>
      <c r="S580" s="718"/>
    </row>
    <row r="581" spans="1:19" s="333" customFormat="1" ht="27" customHeight="1">
      <c r="A581" s="5712">
        <v>133</v>
      </c>
      <c r="B581" s="5713" t="s">
        <v>4103</v>
      </c>
      <c r="C581" s="5714" t="s">
        <v>12088</v>
      </c>
      <c r="D581" s="5715" t="s">
        <v>12089</v>
      </c>
      <c r="E581" s="5716" t="s">
        <v>155</v>
      </c>
      <c r="F581" s="5717">
        <f>SUM(F583)</f>
        <v>1</v>
      </c>
      <c r="G581" s="5718"/>
      <c r="H581" s="6002">
        <f>F581*G581</f>
        <v>0</v>
      </c>
      <c r="I581" s="5719" t="s">
        <v>60</v>
      </c>
      <c r="J581" s="5756"/>
      <c r="K581" s="1325"/>
    </row>
    <row r="582" spans="1:19" ht="27" customHeight="1">
      <c r="A582" s="5721"/>
      <c r="B582" s="5714"/>
      <c r="C582" s="5714"/>
      <c r="D582" s="5714" t="s">
        <v>11933</v>
      </c>
      <c r="E582" s="5714"/>
      <c r="F582" s="5723"/>
      <c r="G582" s="5724"/>
      <c r="H582" s="6003"/>
      <c r="I582" s="5724"/>
      <c r="J582" s="5756"/>
    </row>
    <row r="583" spans="1:19" s="660" customFormat="1" ht="13.5" customHeight="1">
      <c r="A583" s="5726"/>
      <c r="B583" s="5713"/>
      <c r="C583" s="5714"/>
      <c r="D583" s="5714" t="s">
        <v>11796</v>
      </c>
      <c r="E583" s="5714"/>
      <c r="F583" s="5619">
        <v>1</v>
      </c>
      <c r="G583" s="5724"/>
      <c r="H583" s="6003"/>
      <c r="I583" s="5724"/>
      <c r="J583" s="5736"/>
      <c r="K583" s="1618"/>
      <c r="L583" s="808"/>
      <c r="M583" s="808"/>
      <c r="N583" s="808"/>
      <c r="O583" s="808"/>
      <c r="P583" s="808"/>
      <c r="Q583" s="808"/>
      <c r="R583" s="772"/>
      <c r="S583" s="718"/>
    </row>
    <row r="584" spans="1:19" s="660" customFormat="1" ht="13.5" customHeight="1">
      <c r="A584" s="5726"/>
      <c r="B584" s="5713"/>
      <c r="C584" s="5714"/>
      <c r="D584" s="5714" t="s">
        <v>11787</v>
      </c>
      <c r="E584" s="5714"/>
      <c r="F584" s="5619"/>
      <c r="G584" s="5724"/>
      <c r="H584" s="6003"/>
      <c r="I584" s="5757"/>
      <c r="J584" s="5736"/>
      <c r="K584" s="1618"/>
      <c r="L584" s="808"/>
      <c r="M584" s="808"/>
      <c r="N584" s="808"/>
      <c r="O584" s="808"/>
      <c r="P584" s="808"/>
      <c r="Q584" s="808"/>
      <c r="R584" s="772"/>
      <c r="S584" s="718"/>
    </row>
    <row r="585" spans="1:19" s="333" customFormat="1" ht="27" customHeight="1">
      <c r="A585" s="5712">
        <v>134</v>
      </c>
      <c r="B585" s="5713" t="s">
        <v>4103</v>
      </c>
      <c r="C585" s="5714" t="s">
        <v>12090</v>
      </c>
      <c r="D585" s="5715" t="s">
        <v>12091</v>
      </c>
      <c r="E585" s="5716" t="s">
        <v>155</v>
      </c>
      <c r="F585" s="5717">
        <f>SUM(F587)</f>
        <v>1</v>
      </c>
      <c r="G585" s="5718"/>
      <c r="H585" s="6002">
        <f>F585*G585</f>
        <v>0</v>
      </c>
      <c r="I585" s="5719" t="s">
        <v>60</v>
      </c>
      <c r="J585" s="5756"/>
      <c r="K585" s="1325"/>
    </row>
    <row r="586" spans="1:19" ht="27" customHeight="1">
      <c r="A586" s="5721"/>
      <c r="B586" s="5714"/>
      <c r="C586" s="5714"/>
      <c r="D586" s="5714" t="s">
        <v>11933</v>
      </c>
      <c r="E586" s="5714"/>
      <c r="F586" s="5723"/>
      <c r="G586" s="5724"/>
      <c r="H586" s="6003"/>
      <c r="I586" s="5724"/>
      <c r="J586" s="5756"/>
    </row>
    <row r="587" spans="1:19" s="660" customFormat="1" ht="13.5" customHeight="1">
      <c r="A587" s="5726"/>
      <c r="B587" s="5713"/>
      <c r="C587" s="5714"/>
      <c r="D587" s="5714" t="s">
        <v>11796</v>
      </c>
      <c r="E587" s="5714"/>
      <c r="F587" s="5619">
        <v>1</v>
      </c>
      <c r="G587" s="5724"/>
      <c r="H587" s="6003"/>
      <c r="I587" s="5724"/>
      <c r="J587" s="5736"/>
      <c r="K587" s="1618"/>
      <c r="L587" s="808"/>
      <c r="M587" s="808"/>
      <c r="N587" s="808"/>
      <c r="O587" s="808"/>
      <c r="P587" s="808"/>
      <c r="Q587" s="808"/>
      <c r="R587" s="772"/>
      <c r="S587" s="718"/>
    </row>
    <row r="588" spans="1:19" s="660" customFormat="1" ht="13.5" customHeight="1">
      <c r="A588" s="5726"/>
      <c r="B588" s="5713"/>
      <c r="C588" s="5714"/>
      <c r="D588" s="5714" t="s">
        <v>11787</v>
      </c>
      <c r="E588" s="5714"/>
      <c r="F588" s="5619"/>
      <c r="G588" s="5724"/>
      <c r="H588" s="6003"/>
      <c r="I588" s="5757"/>
      <c r="J588" s="5736"/>
      <c r="K588" s="1618"/>
      <c r="L588" s="808"/>
      <c r="M588" s="808"/>
      <c r="N588" s="808"/>
      <c r="O588" s="808"/>
      <c r="P588" s="808"/>
      <c r="Q588" s="808"/>
      <c r="R588" s="772"/>
      <c r="S588" s="718"/>
    </row>
    <row r="589" spans="1:19" s="333" customFormat="1" ht="27" customHeight="1">
      <c r="A589" s="5712">
        <v>135</v>
      </c>
      <c r="B589" s="5713" t="s">
        <v>4103</v>
      </c>
      <c r="C589" s="5714" t="s">
        <v>12092</v>
      </c>
      <c r="D589" s="5715" t="s">
        <v>12093</v>
      </c>
      <c r="E589" s="5716" t="s">
        <v>155</v>
      </c>
      <c r="F589" s="5717">
        <f>SUM(F591)</f>
        <v>1</v>
      </c>
      <c r="G589" s="5718"/>
      <c r="H589" s="6002">
        <f>F589*G589</f>
        <v>0</v>
      </c>
      <c r="I589" s="5719" t="s">
        <v>60</v>
      </c>
      <c r="J589" s="5756"/>
      <c r="K589" s="1325"/>
    </row>
    <row r="590" spans="1:19" ht="27" customHeight="1">
      <c r="A590" s="5721"/>
      <c r="B590" s="5714"/>
      <c r="C590" s="5714"/>
      <c r="D590" s="5714" t="s">
        <v>11933</v>
      </c>
      <c r="E590" s="5714"/>
      <c r="F590" s="5723"/>
      <c r="G590" s="5724"/>
      <c r="H590" s="6003"/>
      <c r="I590" s="5724"/>
      <c r="J590" s="5756"/>
    </row>
    <row r="591" spans="1:19" s="660" customFormat="1" ht="13.5" customHeight="1">
      <c r="A591" s="5726"/>
      <c r="B591" s="5713"/>
      <c r="C591" s="5714"/>
      <c r="D591" s="5714" t="s">
        <v>11796</v>
      </c>
      <c r="E591" s="5714"/>
      <c r="F591" s="5619">
        <v>1</v>
      </c>
      <c r="G591" s="5724"/>
      <c r="H591" s="6003"/>
      <c r="I591" s="5724"/>
      <c r="J591" s="5736"/>
      <c r="K591" s="1618"/>
      <c r="L591" s="808"/>
      <c r="M591" s="808"/>
      <c r="N591" s="808"/>
      <c r="O591" s="808"/>
      <c r="P591" s="808"/>
      <c r="Q591" s="808"/>
      <c r="R591" s="772"/>
      <c r="S591" s="718"/>
    </row>
    <row r="592" spans="1:19" s="660" customFormat="1" ht="13.5" customHeight="1">
      <c r="A592" s="5726"/>
      <c r="B592" s="5713"/>
      <c r="C592" s="5714"/>
      <c r="D592" s="5714" t="s">
        <v>11787</v>
      </c>
      <c r="E592" s="5714"/>
      <c r="F592" s="5619"/>
      <c r="G592" s="5724"/>
      <c r="H592" s="6003"/>
      <c r="I592" s="5757"/>
      <c r="J592" s="5736"/>
      <c r="K592" s="1618"/>
      <c r="L592" s="808"/>
      <c r="M592" s="808"/>
      <c r="N592" s="808"/>
      <c r="O592" s="808"/>
      <c r="P592" s="808"/>
      <c r="Q592" s="808"/>
      <c r="R592" s="772"/>
      <c r="S592" s="718"/>
    </row>
    <row r="593" spans="1:19" s="333" customFormat="1" ht="27" customHeight="1">
      <c r="A593" s="5712">
        <v>136</v>
      </c>
      <c r="B593" s="5713" t="s">
        <v>4103</v>
      </c>
      <c r="C593" s="5714" t="s">
        <v>12094</v>
      </c>
      <c r="D593" s="5715" t="s">
        <v>12095</v>
      </c>
      <c r="E593" s="5716" t="s">
        <v>155</v>
      </c>
      <c r="F593" s="5717">
        <f>SUM(F595)</f>
        <v>1</v>
      </c>
      <c r="G593" s="5718"/>
      <c r="H593" s="6002">
        <f>F593*G593</f>
        <v>0</v>
      </c>
      <c r="I593" s="5719" t="s">
        <v>60</v>
      </c>
      <c r="J593" s="5756"/>
      <c r="K593" s="1325"/>
    </row>
    <row r="594" spans="1:19" ht="27" customHeight="1">
      <c r="A594" s="5721"/>
      <c r="B594" s="5714"/>
      <c r="C594" s="5714"/>
      <c r="D594" s="5714" t="s">
        <v>11933</v>
      </c>
      <c r="E594" s="5714"/>
      <c r="F594" s="5723"/>
      <c r="G594" s="5724"/>
      <c r="H594" s="6003"/>
      <c r="I594" s="5724"/>
      <c r="J594" s="5756"/>
    </row>
    <row r="595" spans="1:19" s="660" customFormat="1" ht="13.5" customHeight="1">
      <c r="A595" s="5726"/>
      <c r="B595" s="5713"/>
      <c r="C595" s="5714"/>
      <c r="D595" s="5714" t="s">
        <v>11796</v>
      </c>
      <c r="E595" s="5714"/>
      <c r="F595" s="5619">
        <v>1</v>
      </c>
      <c r="G595" s="5724"/>
      <c r="H595" s="6003"/>
      <c r="I595" s="5724"/>
      <c r="J595" s="5736"/>
      <c r="K595" s="1618"/>
      <c r="L595" s="808"/>
      <c r="M595" s="808"/>
      <c r="N595" s="808"/>
      <c r="O595" s="808"/>
      <c r="P595" s="808"/>
      <c r="Q595" s="808"/>
      <c r="R595" s="772"/>
      <c r="S595" s="718"/>
    </row>
    <row r="596" spans="1:19" s="660" customFormat="1" ht="13.5" customHeight="1">
      <c r="A596" s="5726"/>
      <c r="B596" s="5713"/>
      <c r="C596" s="5714"/>
      <c r="D596" s="5714" t="s">
        <v>11787</v>
      </c>
      <c r="E596" s="5714"/>
      <c r="F596" s="5619"/>
      <c r="G596" s="5724"/>
      <c r="H596" s="6003"/>
      <c r="I596" s="5757"/>
      <c r="J596" s="5736"/>
      <c r="K596" s="1618"/>
      <c r="L596" s="808"/>
      <c r="M596" s="808"/>
      <c r="N596" s="808"/>
      <c r="O596" s="808"/>
      <c r="P596" s="808"/>
      <c r="Q596" s="808"/>
      <c r="R596" s="772"/>
      <c r="S596" s="718"/>
    </row>
    <row r="597" spans="1:19" s="333" customFormat="1" ht="27" customHeight="1">
      <c r="A597" s="5712">
        <v>137</v>
      </c>
      <c r="B597" s="5713" t="s">
        <v>4103</v>
      </c>
      <c r="C597" s="5714" t="s">
        <v>12096</v>
      </c>
      <c r="D597" s="5715" t="s">
        <v>12097</v>
      </c>
      <c r="E597" s="5716" t="s">
        <v>155</v>
      </c>
      <c r="F597" s="5717">
        <f>SUM(F599)</f>
        <v>1</v>
      </c>
      <c r="G597" s="5718"/>
      <c r="H597" s="6002">
        <f>F597*G597</f>
        <v>0</v>
      </c>
      <c r="I597" s="5719" t="s">
        <v>60</v>
      </c>
      <c r="J597" s="5756"/>
      <c r="K597" s="1325"/>
    </row>
    <row r="598" spans="1:19" ht="27" customHeight="1">
      <c r="A598" s="5721"/>
      <c r="B598" s="5714"/>
      <c r="C598" s="5714"/>
      <c r="D598" s="5714" t="s">
        <v>11933</v>
      </c>
      <c r="E598" s="5714"/>
      <c r="F598" s="5723"/>
      <c r="G598" s="5724"/>
      <c r="H598" s="6003"/>
      <c r="I598" s="5724"/>
      <c r="J598" s="5756"/>
    </row>
    <row r="599" spans="1:19" s="660" customFormat="1" ht="13.5" customHeight="1">
      <c r="A599" s="5726"/>
      <c r="B599" s="5713"/>
      <c r="C599" s="5714"/>
      <c r="D599" s="5714" t="s">
        <v>11796</v>
      </c>
      <c r="E599" s="5714"/>
      <c r="F599" s="5619">
        <v>1</v>
      </c>
      <c r="G599" s="5724"/>
      <c r="H599" s="6003"/>
      <c r="I599" s="5724"/>
      <c r="J599" s="5736"/>
      <c r="K599" s="1618"/>
      <c r="L599" s="808"/>
      <c r="M599" s="808"/>
      <c r="N599" s="808"/>
      <c r="O599" s="808"/>
      <c r="P599" s="808"/>
      <c r="Q599" s="808"/>
      <c r="R599" s="772"/>
      <c r="S599" s="718"/>
    </row>
    <row r="600" spans="1:19" s="660" customFormat="1" ht="13.5" customHeight="1">
      <c r="A600" s="5726"/>
      <c r="B600" s="5713"/>
      <c r="C600" s="5714"/>
      <c r="D600" s="5714" t="s">
        <v>11787</v>
      </c>
      <c r="E600" s="5714"/>
      <c r="F600" s="5619"/>
      <c r="G600" s="5724"/>
      <c r="H600" s="6003"/>
      <c r="I600" s="5757"/>
      <c r="J600" s="5736"/>
      <c r="K600" s="1618"/>
      <c r="L600" s="808"/>
      <c r="M600" s="808"/>
      <c r="N600" s="808"/>
      <c r="O600" s="808"/>
      <c r="P600" s="808"/>
      <c r="Q600" s="808"/>
      <c r="R600" s="772"/>
      <c r="S600" s="718"/>
    </row>
    <row r="601" spans="1:19" s="333" customFormat="1" ht="27" customHeight="1">
      <c r="A601" s="5712">
        <v>138</v>
      </c>
      <c r="B601" s="5713" t="s">
        <v>4103</v>
      </c>
      <c r="C601" s="5714" t="s">
        <v>12098</v>
      </c>
      <c r="D601" s="5715" t="s">
        <v>12099</v>
      </c>
      <c r="E601" s="5716" t="s">
        <v>155</v>
      </c>
      <c r="F601" s="5717">
        <f>SUM(F603)</f>
        <v>1</v>
      </c>
      <c r="G601" s="5718"/>
      <c r="H601" s="6002">
        <f>F601*G601</f>
        <v>0</v>
      </c>
      <c r="I601" s="5719" t="s">
        <v>60</v>
      </c>
      <c r="J601" s="5756"/>
      <c r="K601" s="1325"/>
    </row>
    <row r="602" spans="1:19" ht="27" customHeight="1">
      <c r="A602" s="5721"/>
      <c r="B602" s="5714"/>
      <c r="C602" s="5714"/>
      <c r="D602" s="5714" t="s">
        <v>11908</v>
      </c>
      <c r="E602" s="5714"/>
      <c r="F602" s="5723"/>
      <c r="G602" s="5724"/>
      <c r="H602" s="6003"/>
      <c r="I602" s="5724"/>
      <c r="J602" s="5756"/>
    </row>
    <row r="603" spans="1:19" s="660" customFormat="1" ht="13.5" customHeight="1">
      <c r="A603" s="5726"/>
      <c r="B603" s="5713"/>
      <c r="C603" s="5714"/>
      <c r="D603" s="5714" t="s">
        <v>11796</v>
      </c>
      <c r="E603" s="5714"/>
      <c r="F603" s="5619">
        <v>1</v>
      </c>
      <c r="G603" s="5724"/>
      <c r="H603" s="6003"/>
      <c r="I603" s="5724"/>
      <c r="J603" s="5736"/>
      <c r="K603" s="1618"/>
      <c r="L603" s="808"/>
      <c r="M603" s="808"/>
      <c r="N603" s="808"/>
      <c r="O603" s="808"/>
      <c r="P603" s="808"/>
      <c r="Q603" s="808"/>
      <c r="R603" s="772"/>
      <c r="S603" s="718"/>
    </row>
    <row r="604" spans="1:19" s="660" customFormat="1" ht="13.5" customHeight="1">
      <c r="A604" s="5726"/>
      <c r="B604" s="5713"/>
      <c r="C604" s="5714"/>
      <c r="D604" s="5714" t="s">
        <v>11787</v>
      </c>
      <c r="E604" s="5714"/>
      <c r="F604" s="5619"/>
      <c r="G604" s="5724"/>
      <c r="H604" s="6003"/>
      <c r="I604" s="5757"/>
      <c r="J604" s="5736"/>
      <c r="K604" s="1618"/>
      <c r="L604" s="808"/>
      <c r="M604" s="808"/>
      <c r="N604" s="808"/>
      <c r="O604" s="808"/>
      <c r="P604" s="808"/>
      <c r="Q604" s="808"/>
      <c r="R604" s="772"/>
      <c r="S604" s="718"/>
    </row>
    <row r="605" spans="1:19" s="333" customFormat="1" ht="27" customHeight="1">
      <c r="A605" s="5712">
        <v>139</v>
      </c>
      <c r="B605" s="5713" t="s">
        <v>4103</v>
      </c>
      <c r="C605" s="5714" t="s">
        <v>12100</v>
      </c>
      <c r="D605" s="5715" t="s">
        <v>12101</v>
      </c>
      <c r="E605" s="5716" t="s">
        <v>155</v>
      </c>
      <c r="F605" s="5717">
        <f>SUM(F607)</f>
        <v>1</v>
      </c>
      <c r="G605" s="5718"/>
      <c r="H605" s="6002">
        <f>F605*G605</f>
        <v>0</v>
      </c>
      <c r="I605" s="5719" t="s">
        <v>60</v>
      </c>
      <c r="J605" s="5756"/>
      <c r="K605" s="1325"/>
    </row>
    <row r="606" spans="1:19" ht="27" customHeight="1">
      <c r="A606" s="5721"/>
      <c r="B606" s="5714"/>
      <c r="C606" s="5714"/>
      <c r="D606" s="5714" t="s">
        <v>11908</v>
      </c>
      <c r="E606" s="5714"/>
      <c r="F606" s="5723"/>
      <c r="G606" s="5724"/>
      <c r="H606" s="6003"/>
      <c r="I606" s="5724"/>
      <c r="J606" s="5756"/>
    </row>
    <row r="607" spans="1:19" s="660" customFormat="1" ht="13.5" customHeight="1">
      <c r="A607" s="5726"/>
      <c r="B607" s="5713"/>
      <c r="C607" s="5714"/>
      <c r="D607" s="5714" t="s">
        <v>11796</v>
      </c>
      <c r="E607" s="5714"/>
      <c r="F607" s="5619">
        <v>1</v>
      </c>
      <c r="G607" s="5724"/>
      <c r="H607" s="6003"/>
      <c r="I607" s="5724"/>
      <c r="J607" s="5736"/>
      <c r="K607" s="1618"/>
      <c r="L607" s="808"/>
      <c r="M607" s="808"/>
      <c r="N607" s="808"/>
      <c r="O607" s="808"/>
      <c r="P607" s="808"/>
      <c r="Q607" s="808"/>
      <c r="R607" s="772"/>
      <c r="S607" s="718"/>
    </row>
    <row r="608" spans="1:19" s="660" customFormat="1" ht="13.5" customHeight="1">
      <c r="A608" s="5726"/>
      <c r="B608" s="5713"/>
      <c r="C608" s="5714"/>
      <c r="D608" s="5714" t="s">
        <v>11787</v>
      </c>
      <c r="E608" s="5714"/>
      <c r="F608" s="5619"/>
      <c r="G608" s="5724"/>
      <c r="H608" s="6003"/>
      <c r="I608" s="5757"/>
      <c r="J608" s="5736"/>
      <c r="K608" s="1618"/>
      <c r="L608" s="808"/>
      <c r="M608" s="808"/>
      <c r="N608" s="808"/>
      <c r="O608" s="808"/>
      <c r="P608" s="808"/>
      <c r="Q608" s="808"/>
      <c r="R608" s="772"/>
      <c r="S608" s="718"/>
    </row>
    <row r="609" spans="1:19" s="333" customFormat="1" ht="27" customHeight="1">
      <c r="A609" s="5712">
        <v>140</v>
      </c>
      <c r="B609" s="5713" t="s">
        <v>4103</v>
      </c>
      <c r="C609" s="5714" t="s">
        <v>12102</v>
      </c>
      <c r="D609" s="5715" t="s">
        <v>12103</v>
      </c>
      <c r="E609" s="5716" t="s">
        <v>155</v>
      </c>
      <c r="F609" s="5717">
        <f>SUM(F611)</f>
        <v>1</v>
      </c>
      <c r="G609" s="5718"/>
      <c r="H609" s="6002">
        <f>F609*G609</f>
        <v>0</v>
      </c>
      <c r="I609" s="5719" t="s">
        <v>60</v>
      </c>
      <c r="J609" s="5756"/>
      <c r="K609" s="1325"/>
    </row>
    <row r="610" spans="1:19" ht="27" customHeight="1">
      <c r="A610" s="5721"/>
      <c r="B610" s="5714"/>
      <c r="C610" s="5714"/>
      <c r="D610" s="5714" t="s">
        <v>11933</v>
      </c>
      <c r="E610" s="5714"/>
      <c r="F610" s="5723"/>
      <c r="G610" s="5724"/>
      <c r="H610" s="6003"/>
      <c r="I610" s="5724"/>
      <c r="J610" s="5756"/>
    </row>
    <row r="611" spans="1:19" s="660" customFormat="1" ht="13.5" customHeight="1">
      <c r="A611" s="5726"/>
      <c r="B611" s="5713"/>
      <c r="C611" s="5714"/>
      <c r="D611" s="5714" t="s">
        <v>11796</v>
      </c>
      <c r="E611" s="5714"/>
      <c r="F611" s="5619">
        <v>1</v>
      </c>
      <c r="G611" s="5724"/>
      <c r="H611" s="6003"/>
      <c r="I611" s="5724"/>
      <c r="J611" s="5736"/>
      <c r="K611" s="1618"/>
      <c r="L611" s="808"/>
      <c r="M611" s="808"/>
      <c r="N611" s="808"/>
      <c r="O611" s="808"/>
      <c r="P611" s="808"/>
      <c r="Q611" s="808"/>
      <c r="R611" s="772"/>
      <c r="S611" s="718"/>
    </row>
    <row r="612" spans="1:19" s="660" customFormat="1" ht="13.5" customHeight="1">
      <c r="A612" s="5726"/>
      <c r="B612" s="5713"/>
      <c r="C612" s="5714"/>
      <c r="D612" s="5714" t="s">
        <v>11787</v>
      </c>
      <c r="E612" s="5714"/>
      <c r="F612" s="5619"/>
      <c r="G612" s="5724"/>
      <c r="H612" s="6003"/>
      <c r="I612" s="5757"/>
      <c r="J612" s="5736"/>
      <c r="K612" s="1618"/>
      <c r="L612" s="808"/>
      <c r="M612" s="808"/>
      <c r="N612" s="808"/>
      <c r="O612" s="808"/>
      <c r="P612" s="808"/>
      <c r="Q612" s="808"/>
      <c r="R612" s="772"/>
      <c r="S612" s="718"/>
    </row>
    <row r="613" spans="1:19" s="333" customFormat="1" ht="27" customHeight="1">
      <c r="A613" s="5712">
        <v>141</v>
      </c>
      <c r="B613" s="5713" t="s">
        <v>4103</v>
      </c>
      <c r="C613" s="5714" t="s">
        <v>12104</v>
      </c>
      <c r="D613" s="5715" t="s">
        <v>12105</v>
      </c>
      <c r="E613" s="5716" t="s">
        <v>155</v>
      </c>
      <c r="F613" s="5717">
        <f>SUM(F615)</f>
        <v>1</v>
      </c>
      <c r="G613" s="5718"/>
      <c r="H613" s="6002">
        <f>F613*G613</f>
        <v>0</v>
      </c>
      <c r="I613" s="5719" t="s">
        <v>60</v>
      </c>
      <c r="J613" s="5756"/>
      <c r="K613" s="1325"/>
    </row>
    <row r="614" spans="1:19" ht="27" customHeight="1">
      <c r="A614" s="5721"/>
      <c r="B614" s="5714"/>
      <c r="C614" s="5714"/>
      <c r="D614" s="5714" t="s">
        <v>11933</v>
      </c>
      <c r="E614" s="5714"/>
      <c r="F614" s="5723"/>
      <c r="G614" s="5724"/>
      <c r="H614" s="6003"/>
      <c r="I614" s="5724"/>
      <c r="J614" s="5756"/>
    </row>
    <row r="615" spans="1:19" s="660" customFormat="1" ht="13.5" customHeight="1">
      <c r="A615" s="5726"/>
      <c r="B615" s="5713"/>
      <c r="C615" s="5714"/>
      <c r="D615" s="5714" t="s">
        <v>11796</v>
      </c>
      <c r="E615" s="5714"/>
      <c r="F615" s="5619">
        <v>1</v>
      </c>
      <c r="G615" s="5724"/>
      <c r="H615" s="6003"/>
      <c r="I615" s="5724"/>
      <c r="J615" s="5736"/>
      <c r="K615" s="1618"/>
      <c r="L615" s="808"/>
      <c r="M615" s="808"/>
      <c r="N615" s="808"/>
      <c r="O615" s="808"/>
      <c r="P615" s="808"/>
      <c r="Q615" s="808"/>
      <c r="R615" s="772"/>
      <c r="S615" s="718"/>
    </row>
    <row r="616" spans="1:19" s="660" customFormat="1" ht="13.5" customHeight="1">
      <c r="A616" s="5726"/>
      <c r="B616" s="5713"/>
      <c r="C616" s="5714"/>
      <c r="D616" s="5714" t="s">
        <v>11787</v>
      </c>
      <c r="E616" s="5714"/>
      <c r="F616" s="5619"/>
      <c r="G616" s="5724"/>
      <c r="H616" s="6003"/>
      <c r="I616" s="5757"/>
      <c r="J616" s="5736"/>
      <c r="K616" s="1618"/>
      <c r="L616" s="808"/>
      <c r="M616" s="808"/>
      <c r="N616" s="808"/>
      <c r="O616" s="808"/>
      <c r="P616" s="808"/>
      <c r="Q616" s="808"/>
      <c r="R616" s="772"/>
      <c r="S616" s="718"/>
    </row>
    <row r="617" spans="1:19" s="333" customFormat="1" ht="27" customHeight="1">
      <c r="A617" s="5712">
        <v>142</v>
      </c>
      <c r="B617" s="5713" t="s">
        <v>4103</v>
      </c>
      <c r="C617" s="5714" t="s">
        <v>12106</v>
      </c>
      <c r="D617" s="5715" t="s">
        <v>12107</v>
      </c>
      <c r="E617" s="5716" t="s">
        <v>155</v>
      </c>
      <c r="F617" s="5717">
        <f>SUM(F619)</f>
        <v>1</v>
      </c>
      <c r="G617" s="5718"/>
      <c r="H617" s="6002">
        <f>F617*G617</f>
        <v>0</v>
      </c>
      <c r="I617" s="5719" t="s">
        <v>60</v>
      </c>
      <c r="J617" s="5756"/>
      <c r="K617" s="1325"/>
    </row>
    <row r="618" spans="1:19" ht="27" customHeight="1">
      <c r="A618" s="5721"/>
      <c r="B618" s="5714"/>
      <c r="C618" s="5714"/>
      <c r="D618" s="5714" t="s">
        <v>11933</v>
      </c>
      <c r="E618" s="5714"/>
      <c r="F618" s="5723"/>
      <c r="G618" s="5724"/>
      <c r="H618" s="6003"/>
      <c r="I618" s="5724"/>
      <c r="J618" s="5756"/>
    </row>
    <row r="619" spans="1:19" s="660" customFormat="1" ht="13.5" customHeight="1">
      <c r="A619" s="5726"/>
      <c r="B619" s="5713"/>
      <c r="C619" s="5714"/>
      <c r="D619" s="5714" t="s">
        <v>11796</v>
      </c>
      <c r="E619" s="5714"/>
      <c r="F619" s="5619">
        <v>1</v>
      </c>
      <c r="G619" s="5724"/>
      <c r="H619" s="6003"/>
      <c r="I619" s="5724"/>
      <c r="J619" s="5736"/>
      <c r="K619" s="1618"/>
      <c r="L619" s="808"/>
      <c r="M619" s="808"/>
      <c r="N619" s="808"/>
      <c r="O619" s="808"/>
      <c r="P619" s="808"/>
      <c r="Q619" s="808"/>
      <c r="R619" s="772"/>
      <c r="S619" s="718"/>
    </row>
    <row r="620" spans="1:19" s="660" customFormat="1" ht="13.5" customHeight="1">
      <c r="A620" s="5726"/>
      <c r="B620" s="5713"/>
      <c r="C620" s="5714"/>
      <c r="D620" s="5714" t="s">
        <v>11787</v>
      </c>
      <c r="E620" s="5714"/>
      <c r="F620" s="5619"/>
      <c r="G620" s="5724"/>
      <c r="H620" s="6003"/>
      <c r="I620" s="5757"/>
      <c r="J620" s="5736"/>
      <c r="K620" s="1618"/>
      <c r="L620" s="808"/>
      <c r="M620" s="808"/>
      <c r="N620" s="808"/>
      <c r="O620" s="808"/>
      <c r="P620" s="808"/>
      <c r="Q620" s="808"/>
      <c r="R620" s="772"/>
      <c r="S620" s="718"/>
    </row>
    <row r="621" spans="1:19" s="333" customFormat="1" ht="27" customHeight="1">
      <c r="A621" s="5712">
        <v>143</v>
      </c>
      <c r="B621" s="5713" t="s">
        <v>4103</v>
      </c>
      <c r="C621" s="5714" t="s">
        <v>12106</v>
      </c>
      <c r="D621" s="5715" t="s">
        <v>12108</v>
      </c>
      <c r="E621" s="5716" t="s">
        <v>155</v>
      </c>
      <c r="F621" s="5717">
        <f>SUM(F623)</f>
        <v>1</v>
      </c>
      <c r="G621" s="5718"/>
      <c r="H621" s="6002">
        <f>F621*G621</f>
        <v>0</v>
      </c>
      <c r="I621" s="5719" t="s">
        <v>60</v>
      </c>
      <c r="J621" s="5756"/>
      <c r="K621" s="1325"/>
    </row>
    <row r="622" spans="1:19" ht="27" customHeight="1">
      <c r="A622" s="5721"/>
      <c r="B622" s="5714"/>
      <c r="C622" s="5714"/>
      <c r="D622" s="5714" t="s">
        <v>11971</v>
      </c>
      <c r="E622" s="5714"/>
      <c r="F622" s="5723"/>
      <c r="G622" s="5724"/>
      <c r="H622" s="6003"/>
      <c r="I622" s="5724"/>
      <c r="J622" s="5756"/>
    </row>
    <row r="623" spans="1:19" s="660" customFormat="1" ht="13.5" customHeight="1">
      <c r="A623" s="5726"/>
      <c r="B623" s="5713"/>
      <c r="C623" s="5714"/>
      <c r="D623" s="5714" t="s">
        <v>11796</v>
      </c>
      <c r="E623" s="5714"/>
      <c r="F623" s="5619">
        <v>1</v>
      </c>
      <c r="G623" s="5724"/>
      <c r="H623" s="6003"/>
      <c r="I623" s="5724"/>
      <c r="J623" s="5736"/>
      <c r="K623" s="1618"/>
      <c r="L623" s="808"/>
      <c r="M623" s="808"/>
      <c r="N623" s="808"/>
      <c r="O623" s="808"/>
      <c r="P623" s="808"/>
      <c r="Q623" s="808"/>
      <c r="R623" s="772"/>
      <c r="S623" s="718"/>
    </row>
    <row r="624" spans="1:19" s="660" customFormat="1" ht="13.5" customHeight="1">
      <c r="A624" s="5726"/>
      <c r="B624" s="5713"/>
      <c r="C624" s="5714"/>
      <c r="D624" s="5714" t="s">
        <v>11787</v>
      </c>
      <c r="E624" s="5714"/>
      <c r="F624" s="5619"/>
      <c r="G624" s="5724"/>
      <c r="H624" s="6003"/>
      <c r="I624" s="5757"/>
      <c r="J624" s="5736"/>
      <c r="K624" s="1618"/>
      <c r="L624" s="808"/>
      <c r="M624" s="808"/>
      <c r="N624" s="808"/>
      <c r="O624" s="808"/>
      <c r="P624" s="808"/>
      <c r="Q624" s="808"/>
      <c r="R624" s="772"/>
      <c r="S624" s="718"/>
    </row>
    <row r="625" spans="1:19" s="333" customFormat="1" ht="27" customHeight="1">
      <c r="A625" s="5712">
        <v>144</v>
      </c>
      <c r="B625" s="5713" t="s">
        <v>4103</v>
      </c>
      <c r="C625" s="5714" t="s">
        <v>12109</v>
      </c>
      <c r="D625" s="5715" t="s">
        <v>12110</v>
      </c>
      <c r="E625" s="5716" t="s">
        <v>155</v>
      </c>
      <c r="F625" s="5717">
        <f>SUM(F627)</f>
        <v>1</v>
      </c>
      <c r="G625" s="5718"/>
      <c r="H625" s="6002">
        <f>F625*G625</f>
        <v>0</v>
      </c>
      <c r="I625" s="5719" t="s">
        <v>60</v>
      </c>
      <c r="J625" s="5756"/>
      <c r="K625" s="1325"/>
    </row>
    <row r="626" spans="1:19" ht="27" customHeight="1">
      <c r="A626" s="5721"/>
      <c r="B626" s="5714"/>
      <c r="C626" s="5714"/>
      <c r="D626" s="5714" t="s">
        <v>11971</v>
      </c>
      <c r="E626" s="5714"/>
      <c r="F626" s="5723"/>
      <c r="G626" s="5724"/>
      <c r="H626" s="6003"/>
      <c r="I626" s="5724"/>
      <c r="J626" s="5756"/>
    </row>
    <row r="627" spans="1:19" s="660" customFormat="1" ht="13.5" customHeight="1">
      <c r="A627" s="5726"/>
      <c r="B627" s="5713"/>
      <c r="C627" s="5714"/>
      <c r="D627" s="5714" t="s">
        <v>11800</v>
      </c>
      <c r="E627" s="5714"/>
      <c r="F627" s="5619">
        <v>1</v>
      </c>
      <c r="G627" s="5724"/>
      <c r="H627" s="6003"/>
      <c r="I627" s="5724"/>
      <c r="J627" s="5736"/>
      <c r="K627" s="1618"/>
      <c r="L627" s="808"/>
      <c r="M627" s="808"/>
      <c r="N627" s="808"/>
      <c r="O627" s="808"/>
      <c r="P627" s="808"/>
      <c r="Q627" s="808"/>
      <c r="R627" s="772"/>
      <c r="S627" s="718"/>
    </row>
    <row r="628" spans="1:19" s="660" customFormat="1" ht="13.5" customHeight="1">
      <c r="A628" s="5726"/>
      <c r="B628" s="5713"/>
      <c r="C628" s="5714"/>
      <c r="D628" s="5714" t="s">
        <v>11787</v>
      </c>
      <c r="E628" s="5714"/>
      <c r="F628" s="5619"/>
      <c r="G628" s="5724"/>
      <c r="H628" s="6003"/>
      <c r="I628" s="5757"/>
      <c r="J628" s="5736"/>
      <c r="K628" s="1618"/>
      <c r="L628" s="808"/>
      <c r="M628" s="808"/>
      <c r="N628" s="808"/>
      <c r="O628" s="808"/>
      <c r="P628" s="808"/>
      <c r="Q628" s="808"/>
      <c r="R628" s="772"/>
      <c r="S628" s="718"/>
    </row>
    <row r="629" spans="1:19" s="333" customFormat="1" ht="27" customHeight="1">
      <c r="A629" s="5712">
        <v>145</v>
      </c>
      <c r="B629" s="5713" t="s">
        <v>4103</v>
      </c>
      <c r="C629" s="5714" t="s">
        <v>12111</v>
      </c>
      <c r="D629" s="5715" t="s">
        <v>12112</v>
      </c>
      <c r="E629" s="5716" t="s">
        <v>155</v>
      </c>
      <c r="F629" s="5717">
        <f>SUM(F631)</f>
        <v>1</v>
      </c>
      <c r="G629" s="5718"/>
      <c r="H629" s="6002">
        <f>F629*G629</f>
        <v>0</v>
      </c>
      <c r="I629" s="5719" t="s">
        <v>60</v>
      </c>
      <c r="J629" s="5756"/>
      <c r="K629" s="1325"/>
    </row>
    <row r="630" spans="1:19" ht="27" customHeight="1">
      <c r="A630" s="5721"/>
      <c r="B630" s="5714"/>
      <c r="C630" s="5714"/>
      <c r="D630" s="5714" t="s">
        <v>11933</v>
      </c>
      <c r="E630" s="5714"/>
      <c r="F630" s="5723"/>
      <c r="G630" s="5724"/>
      <c r="H630" s="6003"/>
      <c r="I630" s="5724"/>
      <c r="J630" s="5756"/>
    </row>
    <row r="631" spans="1:19" s="660" customFormat="1" ht="13.5" customHeight="1">
      <c r="A631" s="5726"/>
      <c r="B631" s="5713"/>
      <c r="C631" s="5714"/>
      <c r="D631" s="5714" t="s">
        <v>11800</v>
      </c>
      <c r="E631" s="5714"/>
      <c r="F631" s="5619">
        <v>1</v>
      </c>
      <c r="G631" s="5724"/>
      <c r="H631" s="6003"/>
      <c r="I631" s="5724"/>
      <c r="J631" s="5736"/>
      <c r="K631" s="1618"/>
      <c r="L631" s="808"/>
      <c r="M631" s="808"/>
      <c r="N631" s="808"/>
      <c r="O631" s="808"/>
      <c r="P631" s="808"/>
      <c r="Q631" s="808"/>
      <c r="R631" s="772"/>
      <c r="S631" s="718"/>
    </row>
    <row r="632" spans="1:19" s="660" customFormat="1" ht="13.5" customHeight="1">
      <c r="A632" s="5726"/>
      <c r="B632" s="5713"/>
      <c r="C632" s="5714"/>
      <c r="D632" s="5714" t="s">
        <v>11787</v>
      </c>
      <c r="E632" s="5714"/>
      <c r="F632" s="5619"/>
      <c r="G632" s="5724"/>
      <c r="H632" s="6003"/>
      <c r="I632" s="5757"/>
      <c r="J632" s="5736"/>
      <c r="K632" s="1618"/>
      <c r="L632" s="808"/>
      <c r="M632" s="808"/>
      <c r="N632" s="808"/>
      <c r="O632" s="808"/>
      <c r="P632" s="808"/>
      <c r="Q632" s="808"/>
      <c r="R632" s="772"/>
      <c r="S632" s="718"/>
    </row>
    <row r="633" spans="1:19" s="333" customFormat="1" ht="27" customHeight="1">
      <c r="A633" s="5712">
        <v>146</v>
      </c>
      <c r="B633" s="5713" t="s">
        <v>4103</v>
      </c>
      <c r="C633" s="5714" t="s">
        <v>12113</v>
      </c>
      <c r="D633" s="5715" t="s">
        <v>12114</v>
      </c>
      <c r="E633" s="5716" t="s">
        <v>155</v>
      </c>
      <c r="F633" s="5717">
        <f>SUM(F635)</f>
        <v>1</v>
      </c>
      <c r="G633" s="5718"/>
      <c r="H633" s="6002">
        <f>F633*G633</f>
        <v>0</v>
      </c>
      <c r="I633" s="5719" t="s">
        <v>60</v>
      </c>
      <c r="J633" s="5756"/>
      <c r="K633" s="1325"/>
    </row>
    <row r="634" spans="1:19" ht="27" customHeight="1">
      <c r="A634" s="5721"/>
      <c r="B634" s="5714"/>
      <c r="C634" s="5714"/>
      <c r="D634" s="5714" t="s">
        <v>11933</v>
      </c>
      <c r="E634" s="5714"/>
      <c r="F634" s="5723"/>
      <c r="G634" s="5724"/>
      <c r="H634" s="6003"/>
      <c r="I634" s="5724"/>
      <c r="J634" s="5756"/>
    </row>
    <row r="635" spans="1:19" s="660" customFormat="1" ht="13.5" customHeight="1">
      <c r="A635" s="5726"/>
      <c r="B635" s="5713"/>
      <c r="C635" s="5714"/>
      <c r="D635" s="5714" t="s">
        <v>11800</v>
      </c>
      <c r="E635" s="5714"/>
      <c r="F635" s="5619">
        <v>1</v>
      </c>
      <c r="G635" s="5724"/>
      <c r="H635" s="6003"/>
      <c r="I635" s="5724"/>
      <c r="J635" s="5736"/>
      <c r="K635" s="1618"/>
      <c r="L635" s="808"/>
      <c r="M635" s="808"/>
      <c r="N635" s="808"/>
      <c r="O635" s="808"/>
      <c r="P635" s="808"/>
      <c r="Q635" s="808"/>
      <c r="R635" s="772"/>
      <c r="S635" s="718"/>
    </row>
    <row r="636" spans="1:19" s="660" customFormat="1" ht="13.5" customHeight="1">
      <c r="A636" s="5726"/>
      <c r="B636" s="5713"/>
      <c r="C636" s="5714"/>
      <c r="D636" s="5714" t="s">
        <v>11787</v>
      </c>
      <c r="E636" s="5714"/>
      <c r="F636" s="5619"/>
      <c r="G636" s="5724"/>
      <c r="H636" s="6003"/>
      <c r="I636" s="5757"/>
      <c r="J636" s="5736"/>
      <c r="K636" s="1618"/>
      <c r="L636" s="808"/>
      <c r="M636" s="808"/>
      <c r="N636" s="808"/>
      <c r="O636" s="808"/>
      <c r="P636" s="808"/>
      <c r="Q636" s="808"/>
      <c r="R636" s="772"/>
      <c r="S636" s="718"/>
    </row>
    <row r="637" spans="1:19" s="333" customFormat="1" ht="27" customHeight="1">
      <c r="A637" s="5712">
        <v>147</v>
      </c>
      <c r="B637" s="5713" t="s">
        <v>4103</v>
      </c>
      <c r="C637" s="5714" t="s">
        <v>12115</v>
      </c>
      <c r="D637" s="5715" t="s">
        <v>12116</v>
      </c>
      <c r="E637" s="5716" t="s">
        <v>155</v>
      </c>
      <c r="F637" s="5717">
        <f>SUM(F639)</f>
        <v>1</v>
      </c>
      <c r="G637" s="5718"/>
      <c r="H637" s="6002">
        <f>F637*G637</f>
        <v>0</v>
      </c>
      <c r="I637" s="5719" t="s">
        <v>60</v>
      </c>
      <c r="J637" s="5756"/>
      <c r="K637" s="1325"/>
    </row>
    <row r="638" spans="1:19" ht="27" customHeight="1">
      <c r="A638" s="5721"/>
      <c r="B638" s="5714"/>
      <c r="C638" s="5714"/>
      <c r="D638" s="5714" t="s">
        <v>11933</v>
      </c>
      <c r="E638" s="5714"/>
      <c r="F638" s="5723"/>
      <c r="G638" s="5724"/>
      <c r="H638" s="6003"/>
      <c r="I638" s="5724"/>
      <c r="J638" s="5756"/>
    </row>
    <row r="639" spans="1:19" s="660" customFormat="1" ht="13.5" customHeight="1">
      <c r="A639" s="5726"/>
      <c r="B639" s="5713"/>
      <c r="C639" s="5714"/>
      <c r="D639" s="5714" t="s">
        <v>11800</v>
      </c>
      <c r="E639" s="5714"/>
      <c r="F639" s="5619">
        <v>1</v>
      </c>
      <c r="G639" s="5724"/>
      <c r="H639" s="6003"/>
      <c r="I639" s="5724"/>
      <c r="J639" s="5736"/>
      <c r="K639" s="1618"/>
      <c r="L639" s="808"/>
      <c r="M639" s="808"/>
      <c r="N639" s="808"/>
      <c r="O639" s="808"/>
      <c r="P639" s="808"/>
      <c r="Q639" s="808"/>
      <c r="R639" s="772"/>
      <c r="S639" s="718"/>
    </row>
    <row r="640" spans="1:19" s="660" customFormat="1" ht="13.5" customHeight="1">
      <c r="A640" s="5726"/>
      <c r="B640" s="5713"/>
      <c r="C640" s="5714"/>
      <c r="D640" s="5714" t="s">
        <v>11787</v>
      </c>
      <c r="E640" s="5714"/>
      <c r="F640" s="5619"/>
      <c r="G640" s="5724"/>
      <c r="H640" s="6003"/>
      <c r="I640" s="5757"/>
      <c r="J640" s="5736"/>
      <c r="K640" s="1618"/>
      <c r="L640" s="808"/>
      <c r="M640" s="808"/>
      <c r="N640" s="808"/>
      <c r="O640" s="808"/>
      <c r="P640" s="808"/>
      <c r="Q640" s="808"/>
      <c r="R640" s="772"/>
      <c r="S640" s="718"/>
    </row>
    <row r="641" spans="1:19" s="333" customFormat="1" ht="27" customHeight="1">
      <c r="A641" s="5712">
        <v>148</v>
      </c>
      <c r="B641" s="5713" t="s">
        <v>4103</v>
      </c>
      <c r="C641" s="5714" t="s">
        <v>12117</v>
      </c>
      <c r="D641" s="5715" t="s">
        <v>12118</v>
      </c>
      <c r="E641" s="5716" t="s">
        <v>155</v>
      </c>
      <c r="F641" s="5717">
        <f>SUM(F643)</f>
        <v>1</v>
      </c>
      <c r="G641" s="5718"/>
      <c r="H641" s="6002">
        <f>F641*G641</f>
        <v>0</v>
      </c>
      <c r="I641" s="5719" t="s">
        <v>60</v>
      </c>
      <c r="J641" s="5756"/>
      <c r="K641" s="1325"/>
    </row>
    <row r="642" spans="1:19" ht="27" customHeight="1">
      <c r="A642" s="5721"/>
      <c r="B642" s="5714"/>
      <c r="C642" s="5714"/>
      <c r="D642" s="5714" t="s">
        <v>11971</v>
      </c>
      <c r="E642" s="5714"/>
      <c r="F642" s="5723"/>
      <c r="G642" s="5724"/>
      <c r="H642" s="6003"/>
      <c r="I642" s="5724"/>
      <c r="J642" s="5756"/>
    </row>
    <row r="643" spans="1:19" s="660" customFormat="1" ht="13.5" customHeight="1">
      <c r="A643" s="5726"/>
      <c r="B643" s="5713"/>
      <c r="C643" s="5714"/>
      <c r="D643" s="5714" t="s">
        <v>11800</v>
      </c>
      <c r="E643" s="5714"/>
      <c r="F643" s="5619">
        <v>1</v>
      </c>
      <c r="G643" s="5724"/>
      <c r="H643" s="6003"/>
      <c r="I643" s="5724"/>
      <c r="J643" s="5736"/>
      <c r="K643" s="1618"/>
      <c r="L643" s="808"/>
      <c r="M643" s="808"/>
      <c r="N643" s="808"/>
      <c r="O643" s="808"/>
      <c r="P643" s="808"/>
      <c r="Q643" s="808"/>
      <c r="R643" s="772"/>
      <c r="S643" s="718"/>
    </row>
    <row r="644" spans="1:19" s="660" customFormat="1" ht="13.5" customHeight="1">
      <c r="A644" s="5726"/>
      <c r="B644" s="5713"/>
      <c r="C644" s="5714"/>
      <c r="D644" s="5714" t="s">
        <v>11787</v>
      </c>
      <c r="E644" s="5714"/>
      <c r="F644" s="5619"/>
      <c r="G644" s="5724"/>
      <c r="H644" s="6003"/>
      <c r="I644" s="5757"/>
      <c r="J644" s="5736"/>
      <c r="K644" s="1618"/>
      <c r="L644" s="808"/>
      <c r="M644" s="808"/>
      <c r="N644" s="808"/>
      <c r="O644" s="808"/>
      <c r="P644" s="808"/>
      <c r="Q644" s="808"/>
      <c r="R644" s="772"/>
      <c r="S644" s="718"/>
    </row>
    <row r="645" spans="1:19" s="333" customFormat="1" ht="27" customHeight="1">
      <c r="A645" s="5712">
        <v>149</v>
      </c>
      <c r="B645" s="5713" t="s">
        <v>4103</v>
      </c>
      <c r="C645" s="5714" t="s">
        <v>12119</v>
      </c>
      <c r="D645" s="5715" t="s">
        <v>12120</v>
      </c>
      <c r="E645" s="5716" t="s">
        <v>155</v>
      </c>
      <c r="F645" s="5717">
        <f>SUM(F647)</f>
        <v>1</v>
      </c>
      <c r="G645" s="5718"/>
      <c r="H645" s="6002">
        <f>F645*G645</f>
        <v>0</v>
      </c>
      <c r="I645" s="5719" t="s">
        <v>60</v>
      </c>
      <c r="J645" s="5756"/>
      <c r="K645" s="1325"/>
    </row>
    <row r="646" spans="1:19" ht="27" customHeight="1">
      <c r="A646" s="5721"/>
      <c r="B646" s="5714"/>
      <c r="C646" s="5714"/>
      <c r="D646" s="5714" t="s">
        <v>11908</v>
      </c>
      <c r="E646" s="5714"/>
      <c r="F646" s="5723"/>
      <c r="G646" s="5724"/>
      <c r="H646" s="6003"/>
      <c r="I646" s="5724"/>
      <c r="J646" s="5756"/>
    </row>
    <row r="647" spans="1:19" s="660" customFormat="1" ht="13.5" customHeight="1">
      <c r="A647" s="5726"/>
      <c r="B647" s="5713"/>
      <c r="C647" s="5714"/>
      <c r="D647" s="5714" t="s">
        <v>11800</v>
      </c>
      <c r="E647" s="5714"/>
      <c r="F647" s="5619">
        <v>1</v>
      </c>
      <c r="G647" s="5724"/>
      <c r="H647" s="6003"/>
      <c r="I647" s="5724"/>
      <c r="J647" s="5736"/>
      <c r="K647" s="1618"/>
      <c r="L647" s="808"/>
      <c r="M647" s="808"/>
      <c r="N647" s="808"/>
      <c r="O647" s="808"/>
      <c r="P647" s="808"/>
      <c r="Q647" s="808"/>
      <c r="R647" s="772"/>
      <c r="S647" s="718"/>
    </row>
    <row r="648" spans="1:19" s="660" customFormat="1" ht="13.5" customHeight="1">
      <c r="A648" s="5726"/>
      <c r="B648" s="5713"/>
      <c r="C648" s="5714"/>
      <c r="D648" s="5714" t="s">
        <v>11787</v>
      </c>
      <c r="E648" s="5714"/>
      <c r="F648" s="5619"/>
      <c r="G648" s="5724"/>
      <c r="H648" s="6003"/>
      <c r="I648" s="5757"/>
      <c r="J648" s="5736"/>
      <c r="K648" s="1618"/>
      <c r="L648" s="808"/>
      <c r="M648" s="808"/>
      <c r="N648" s="808"/>
      <c r="O648" s="808"/>
      <c r="P648" s="808"/>
      <c r="Q648" s="808"/>
      <c r="R648" s="772"/>
      <c r="S648" s="718"/>
    </row>
    <row r="649" spans="1:19" s="333" customFormat="1" ht="27" customHeight="1">
      <c r="A649" s="5712">
        <v>150</v>
      </c>
      <c r="B649" s="5713" t="s">
        <v>4103</v>
      </c>
      <c r="C649" s="5714" t="s">
        <v>12121</v>
      </c>
      <c r="D649" s="5715" t="s">
        <v>12122</v>
      </c>
      <c r="E649" s="5716" t="s">
        <v>155</v>
      </c>
      <c r="F649" s="5717">
        <f>SUM(F651)</f>
        <v>1</v>
      </c>
      <c r="G649" s="5718"/>
      <c r="H649" s="6002">
        <f>F649*G649</f>
        <v>0</v>
      </c>
      <c r="I649" s="5719" t="s">
        <v>60</v>
      </c>
      <c r="J649" s="5756"/>
      <c r="K649" s="1325"/>
    </row>
    <row r="650" spans="1:19" ht="27" customHeight="1">
      <c r="A650" s="5721"/>
      <c r="B650" s="5714"/>
      <c r="C650" s="5714"/>
      <c r="D650" s="5714" t="s">
        <v>11908</v>
      </c>
      <c r="E650" s="5714"/>
      <c r="F650" s="5723"/>
      <c r="G650" s="5724"/>
      <c r="H650" s="6003"/>
      <c r="I650" s="5724"/>
      <c r="J650" s="5756"/>
    </row>
    <row r="651" spans="1:19" s="660" customFormat="1" ht="13.5" customHeight="1">
      <c r="A651" s="5726"/>
      <c r="B651" s="5713"/>
      <c r="C651" s="5714"/>
      <c r="D651" s="5714" t="s">
        <v>11800</v>
      </c>
      <c r="E651" s="5714"/>
      <c r="F651" s="5619">
        <v>1</v>
      </c>
      <c r="G651" s="5724"/>
      <c r="H651" s="6003"/>
      <c r="I651" s="5724"/>
      <c r="J651" s="5736"/>
      <c r="K651" s="1618"/>
      <c r="L651" s="808"/>
      <c r="M651" s="808"/>
      <c r="N651" s="808"/>
      <c r="O651" s="808"/>
      <c r="P651" s="808"/>
      <c r="Q651" s="808"/>
      <c r="R651" s="772"/>
      <c r="S651" s="718"/>
    </row>
    <row r="652" spans="1:19" s="660" customFormat="1" ht="13.5" customHeight="1">
      <c r="A652" s="5726"/>
      <c r="B652" s="5713"/>
      <c r="C652" s="5714"/>
      <c r="D652" s="5714" t="s">
        <v>11787</v>
      </c>
      <c r="E652" s="5714"/>
      <c r="F652" s="5619"/>
      <c r="G652" s="5724"/>
      <c r="H652" s="6003"/>
      <c r="I652" s="5757"/>
      <c r="J652" s="5736"/>
      <c r="K652" s="1618"/>
      <c r="L652" s="808"/>
      <c r="M652" s="808"/>
      <c r="N652" s="808"/>
      <c r="O652" s="808"/>
      <c r="P652" s="808"/>
      <c r="Q652" s="808"/>
      <c r="R652" s="772"/>
      <c r="S652" s="718"/>
    </row>
    <row r="653" spans="1:19" s="333" customFormat="1" ht="27" customHeight="1">
      <c r="A653" s="5712">
        <v>151</v>
      </c>
      <c r="B653" s="5713" t="s">
        <v>4103</v>
      </c>
      <c r="C653" s="5714" t="s">
        <v>12123</v>
      </c>
      <c r="D653" s="5715" t="s">
        <v>12124</v>
      </c>
      <c r="E653" s="5716" t="s">
        <v>155</v>
      </c>
      <c r="F653" s="5717">
        <f>SUM(F655)</f>
        <v>1</v>
      </c>
      <c r="G653" s="5718"/>
      <c r="H653" s="6002">
        <f>F653*G653</f>
        <v>0</v>
      </c>
      <c r="I653" s="5719" t="s">
        <v>60</v>
      </c>
      <c r="J653" s="5756"/>
      <c r="K653" s="1325"/>
    </row>
    <row r="654" spans="1:19" ht="27" customHeight="1">
      <c r="A654" s="5721"/>
      <c r="B654" s="5714"/>
      <c r="C654" s="5714"/>
      <c r="D654" s="5714" t="s">
        <v>11908</v>
      </c>
      <c r="E654" s="5714"/>
      <c r="F654" s="5723"/>
      <c r="G654" s="5724"/>
      <c r="H654" s="6003"/>
      <c r="I654" s="5724"/>
      <c r="J654" s="5756"/>
    </row>
    <row r="655" spans="1:19" s="660" customFormat="1" ht="13.5" customHeight="1">
      <c r="A655" s="5726"/>
      <c r="B655" s="5713"/>
      <c r="C655" s="5714"/>
      <c r="D655" s="5714" t="s">
        <v>11800</v>
      </c>
      <c r="E655" s="5714"/>
      <c r="F655" s="5619">
        <v>1</v>
      </c>
      <c r="G655" s="5724"/>
      <c r="H655" s="6003"/>
      <c r="I655" s="5724"/>
      <c r="J655" s="5736"/>
      <c r="K655" s="1618"/>
      <c r="L655" s="808"/>
      <c r="M655" s="808"/>
      <c r="N655" s="808"/>
      <c r="O655" s="808"/>
      <c r="P655" s="808"/>
      <c r="Q655" s="808"/>
      <c r="R655" s="772"/>
      <c r="S655" s="718"/>
    </row>
    <row r="656" spans="1:19" s="660" customFormat="1" ht="13.5" customHeight="1">
      <c r="A656" s="5726"/>
      <c r="B656" s="5713"/>
      <c r="C656" s="5714"/>
      <c r="D656" s="5714" t="s">
        <v>11787</v>
      </c>
      <c r="E656" s="5714"/>
      <c r="F656" s="5619"/>
      <c r="G656" s="5724"/>
      <c r="H656" s="6003"/>
      <c r="I656" s="5757"/>
      <c r="J656" s="5736"/>
      <c r="K656" s="1618"/>
      <c r="L656" s="808"/>
      <c r="M656" s="808"/>
      <c r="N656" s="808"/>
      <c r="O656" s="808"/>
      <c r="P656" s="808"/>
      <c r="Q656" s="808"/>
      <c r="R656" s="772"/>
      <c r="S656" s="718"/>
    </row>
    <row r="657" spans="1:19" s="333" customFormat="1" ht="27" customHeight="1">
      <c r="A657" s="5712">
        <v>152</v>
      </c>
      <c r="B657" s="5713" t="s">
        <v>4103</v>
      </c>
      <c r="C657" s="5714" t="s">
        <v>12125</v>
      </c>
      <c r="D657" s="5715" t="s">
        <v>12126</v>
      </c>
      <c r="E657" s="5716" t="s">
        <v>155</v>
      </c>
      <c r="F657" s="5717">
        <f>SUM(F659)</f>
        <v>1</v>
      </c>
      <c r="G657" s="5718"/>
      <c r="H657" s="6002">
        <f>F657*G657</f>
        <v>0</v>
      </c>
      <c r="I657" s="5719" t="s">
        <v>60</v>
      </c>
      <c r="J657" s="5756"/>
      <c r="K657" s="1325"/>
    </row>
    <row r="658" spans="1:19" ht="27" customHeight="1">
      <c r="A658" s="5721"/>
      <c r="B658" s="5714"/>
      <c r="C658" s="5714"/>
      <c r="D658" s="5714" t="s">
        <v>11933</v>
      </c>
      <c r="E658" s="5714"/>
      <c r="F658" s="5723"/>
      <c r="G658" s="5724"/>
      <c r="H658" s="6003"/>
      <c r="I658" s="5724"/>
      <c r="J658" s="5756"/>
    </row>
    <row r="659" spans="1:19" s="660" customFormat="1" ht="13.5" customHeight="1">
      <c r="A659" s="5726"/>
      <c r="B659" s="5713"/>
      <c r="C659" s="5714"/>
      <c r="D659" s="5714" t="s">
        <v>11800</v>
      </c>
      <c r="E659" s="5714"/>
      <c r="F659" s="5619">
        <v>1</v>
      </c>
      <c r="G659" s="5724"/>
      <c r="H659" s="6003"/>
      <c r="I659" s="5724"/>
      <c r="J659" s="5736"/>
      <c r="K659" s="1618"/>
      <c r="L659" s="808"/>
      <c r="M659" s="808"/>
      <c r="N659" s="808"/>
      <c r="O659" s="808"/>
      <c r="P659" s="808"/>
      <c r="Q659" s="808"/>
      <c r="R659" s="772"/>
      <c r="S659" s="718"/>
    </row>
    <row r="660" spans="1:19" s="660" customFormat="1" ht="13.5" customHeight="1">
      <c r="A660" s="5726"/>
      <c r="B660" s="5713"/>
      <c r="C660" s="5714"/>
      <c r="D660" s="5714" t="s">
        <v>11787</v>
      </c>
      <c r="E660" s="5714"/>
      <c r="F660" s="5619"/>
      <c r="G660" s="5724"/>
      <c r="H660" s="6003"/>
      <c r="I660" s="5757"/>
      <c r="J660" s="5736"/>
      <c r="K660" s="1618"/>
      <c r="L660" s="808"/>
      <c r="M660" s="808"/>
      <c r="N660" s="808"/>
      <c r="O660" s="808"/>
      <c r="P660" s="808"/>
      <c r="Q660" s="808"/>
      <c r="R660" s="772"/>
      <c r="S660" s="718"/>
    </row>
    <row r="661" spans="1:19" s="333" customFormat="1" ht="27" customHeight="1">
      <c r="A661" s="5712">
        <v>153</v>
      </c>
      <c r="B661" s="5713" t="s">
        <v>4103</v>
      </c>
      <c r="C661" s="5714" t="s">
        <v>12127</v>
      </c>
      <c r="D661" s="5715" t="s">
        <v>12128</v>
      </c>
      <c r="E661" s="5716" t="s">
        <v>155</v>
      </c>
      <c r="F661" s="5717">
        <f>SUM(F663)</f>
        <v>1</v>
      </c>
      <c r="G661" s="5718"/>
      <c r="H661" s="6002">
        <f>F661*G661</f>
        <v>0</v>
      </c>
      <c r="I661" s="5719" t="s">
        <v>60</v>
      </c>
      <c r="J661" s="5756"/>
      <c r="K661" s="1325"/>
    </row>
    <row r="662" spans="1:19" ht="27" customHeight="1">
      <c r="A662" s="5721"/>
      <c r="B662" s="5714"/>
      <c r="C662" s="5714"/>
      <c r="D662" s="5714" t="s">
        <v>11933</v>
      </c>
      <c r="E662" s="5714"/>
      <c r="F662" s="5723"/>
      <c r="G662" s="5724"/>
      <c r="H662" s="6003"/>
      <c r="I662" s="5724"/>
      <c r="J662" s="5756"/>
    </row>
    <row r="663" spans="1:19" s="660" customFormat="1" ht="13.5" customHeight="1">
      <c r="A663" s="5726"/>
      <c r="B663" s="5713"/>
      <c r="C663" s="5714"/>
      <c r="D663" s="5714" t="s">
        <v>11800</v>
      </c>
      <c r="E663" s="5714"/>
      <c r="F663" s="5619">
        <v>1</v>
      </c>
      <c r="G663" s="5724"/>
      <c r="H663" s="6003"/>
      <c r="I663" s="5724"/>
      <c r="J663" s="5736"/>
      <c r="K663" s="1618"/>
      <c r="L663" s="808"/>
      <c r="M663" s="808"/>
      <c r="N663" s="808"/>
      <c r="O663" s="808"/>
      <c r="P663" s="808"/>
      <c r="Q663" s="808"/>
      <c r="R663" s="772"/>
      <c r="S663" s="718"/>
    </row>
    <row r="664" spans="1:19" s="660" customFormat="1" ht="13.5" customHeight="1">
      <c r="A664" s="5726"/>
      <c r="B664" s="5713"/>
      <c r="C664" s="5714"/>
      <c r="D664" s="5714" t="s">
        <v>11787</v>
      </c>
      <c r="E664" s="5714"/>
      <c r="F664" s="5619"/>
      <c r="G664" s="5724"/>
      <c r="H664" s="6003"/>
      <c r="I664" s="5757"/>
      <c r="J664" s="5736"/>
      <c r="K664" s="1618"/>
      <c r="L664" s="808"/>
      <c r="M664" s="808"/>
      <c r="N664" s="808"/>
      <c r="O664" s="808"/>
      <c r="P664" s="808"/>
      <c r="Q664" s="808"/>
      <c r="R664" s="772"/>
      <c r="S664" s="718"/>
    </row>
    <row r="665" spans="1:19" s="333" customFormat="1" ht="27" customHeight="1">
      <c r="A665" s="5712">
        <v>154</v>
      </c>
      <c r="B665" s="5713" t="s">
        <v>4103</v>
      </c>
      <c r="C665" s="5714" t="s">
        <v>12129</v>
      </c>
      <c r="D665" s="5715" t="s">
        <v>12130</v>
      </c>
      <c r="E665" s="5716" t="s">
        <v>155</v>
      </c>
      <c r="F665" s="5717">
        <f>SUM(F667)</f>
        <v>1</v>
      </c>
      <c r="G665" s="5718"/>
      <c r="H665" s="6002">
        <f>F665*G665</f>
        <v>0</v>
      </c>
      <c r="I665" s="5719" t="s">
        <v>60</v>
      </c>
      <c r="J665" s="5756"/>
      <c r="K665" s="1325"/>
    </row>
    <row r="666" spans="1:19" ht="27" customHeight="1">
      <c r="A666" s="5721"/>
      <c r="B666" s="5714"/>
      <c r="C666" s="5714"/>
      <c r="D666" s="5714" t="s">
        <v>11933</v>
      </c>
      <c r="E666" s="5714"/>
      <c r="F666" s="5723"/>
      <c r="G666" s="5724"/>
      <c r="H666" s="6003"/>
      <c r="I666" s="5724"/>
      <c r="J666" s="5756"/>
    </row>
    <row r="667" spans="1:19" s="660" customFormat="1" ht="13.5" customHeight="1">
      <c r="A667" s="5726"/>
      <c r="B667" s="5713"/>
      <c r="C667" s="5714"/>
      <c r="D667" s="5714" t="s">
        <v>11800</v>
      </c>
      <c r="E667" s="5714"/>
      <c r="F667" s="5619">
        <v>1</v>
      </c>
      <c r="G667" s="5724"/>
      <c r="H667" s="6003"/>
      <c r="I667" s="5724"/>
      <c r="J667" s="5736"/>
      <c r="K667" s="1618"/>
      <c r="L667" s="808"/>
      <c r="M667" s="808"/>
      <c r="N667" s="808"/>
      <c r="O667" s="808"/>
      <c r="P667" s="808"/>
      <c r="Q667" s="808"/>
      <c r="R667" s="772"/>
      <c r="S667" s="718"/>
    </row>
    <row r="668" spans="1:19" s="660" customFormat="1" ht="13.5" customHeight="1">
      <c r="A668" s="5726"/>
      <c r="B668" s="5713"/>
      <c r="C668" s="5714"/>
      <c r="D668" s="5714" t="s">
        <v>11787</v>
      </c>
      <c r="E668" s="5714"/>
      <c r="F668" s="5619"/>
      <c r="G668" s="5724"/>
      <c r="H668" s="6003"/>
      <c r="I668" s="5757"/>
      <c r="J668" s="5736"/>
      <c r="K668" s="1618"/>
      <c r="L668" s="808"/>
      <c r="M668" s="808"/>
      <c r="N668" s="808"/>
      <c r="O668" s="808"/>
      <c r="P668" s="808"/>
      <c r="Q668" s="808"/>
      <c r="R668" s="772"/>
      <c r="S668" s="718"/>
    </row>
    <row r="669" spans="1:19" s="333" customFormat="1" ht="27" customHeight="1">
      <c r="A669" s="5712">
        <v>155</v>
      </c>
      <c r="B669" s="5713" t="s">
        <v>4103</v>
      </c>
      <c r="C669" s="5714" t="s">
        <v>12131</v>
      </c>
      <c r="D669" s="5715" t="s">
        <v>12132</v>
      </c>
      <c r="E669" s="5716" t="s">
        <v>155</v>
      </c>
      <c r="F669" s="5717">
        <f>SUM(F671)</f>
        <v>1</v>
      </c>
      <c r="G669" s="5718"/>
      <c r="H669" s="6002">
        <f>F669*G669</f>
        <v>0</v>
      </c>
      <c r="I669" s="5719" t="s">
        <v>60</v>
      </c>
      <c r="J669" s="5756"/>
      <c r="K669" s="1325"/>
    </row>
    <row r="670" spans="1:19" ht="27" customHeight="1">
      <c r="A670" s="5721"/>
      <c r="B670" s="5714"/>
      <c r="C670" s="5714"/>
      <c r="D670" s="5714" t="s">
        <v>11971</v>
      </c>
      <c r="E670" s="5714"/>
      <c r="F670" s="5723"/>
      <c r="G670" s="5724"/>
      <c r="H670" s="6003"/>
      <c r="I670" s="5724"/>
      <c r="J670" s="5756"/>
    </row>
    <row r="671" spans="1:19" s="660" customFormat="1" ht="13.5" customHeight="1">
      <c r="A671" s="5726"/>
      <c r="B671" s="5713"/>
      <c r="C671" s="5714"/>
      <c r="D671" s="5714" t="s">
        <v>11800</v>
      </c>
      <c r="E671" s="5714"/>
      <c r="F671" s="5619">
        <v>1</v>
      </c>
      <c r="G671" s="5724"/>
      <c r="H671" s="6003"/>
      <c r="I671" s="5724"/>
      <c r="J671" s="5736"/>
      <c r="K671" s="1618"/>
      <c r="L671" s="808"/>
      <c r="M671" s="808"/>
      <c r="N671" s="808"/>
      <c r="O671" s="808"/>
      <c r="P671" s="808"/>
      <c r="Q671" s="808"/>
      <c r="R671" s="772"/>
      <c r="S671" s="718"/>
    </row>
    <row r="672" spans="1:19" s="660" customFormat="1" ht="13.5" customHeight="1">
      <c r="A672" s="5726"/>
      <c r="B672" s="5713"/>
      <c r="C672" s="5714"/>
      <c r="D672" s="5714" t="s">
        <v>11787</v>
      </c>
      <c r="E672" s="5714"/>
      <c r="F672" s="5619"/>
      <c r="G672" s="5724"/>
      <c r="H672" s="6003"/>
      <c r="I672" s="5757"/>
      <c r="J672" s="5736"/>
      <c r="K672" s="1618"/>
      <c r="L672" s="808"/>
      <c r="M672" s="808"/>
      <c r="N672" s="808"/>
      <c r="O672" s="808"/>
      <c r="P672" s="808"/>
      <c r="Q672" s="808"/>
      <c r="R672" s="772"/>
      <c r="S672" s="718"/>
    </row>
    <row r="673" spans="1:19" s="333" customFormat="1" ht="27" customHeight="1">
      <c r="A673" s="5712">
        <v>156</v>
      </c>
      <c r="B673" s="5713" t="s">
        <v>4103</v>
      </c>
      <c r="C673" s="5714" t="s">
        <v>12133</v>
      </c>
      <c r="D673" s="5715" t="s">
        <v>12134</v>
      </c>
      <c r="E673" s="5716" t="s">
        <v>155</v>
      </c>
      <c r="F673" s="5717">
        <f>SUM(F675)</f>
        <v>1</v>
      </c>
      <c r="G673" s="5718"/>
      <c r="H673" s="6002">
        <f>F673*G673</f>
        <v>0</v>
      </c>
      <c r="I673" s="5719" t="s">
        <v>60</v>
      </c>
      <c r="J673" s="5756"/>
      <c r="K673" s="1325"/>
    </row>
    <row r="674" spans="1:19" ht="27" customHeight="1">
      <c r="A674" s="5721"/>
      <c r="B674" s="5714"/>
      <c r="C674" s="5714"/>
      <c r="D674" s="5714" t="s">
        <v>11971</v>
      </c>
      <c r="E674" s="5714"/>
      <c r="F674" s="5723"/>
      <c r="G674" s="5724"/>
      <c r="H674" s="6003"/>
      <c r="I674" s="5724"/>
      <c r="J674" s="5756"/>
    </row>
    <row r="675" spans="1:19" s="660" customFormat="1" ht="13.5" customHeight="1">
      <c r="A675" s="5726"/>
      <c r="B675" s="5713"/>
      <c r="C675" s="5714"/>
      <c r="D675" s="5714" t="s">
        <v>11800</v>
      </c>
      <c r="E675" s="5714"/>
      <c r="F675" s="5619">
        <v>1</v>
      </c>
      <c r="G675" s="5724"/>
      <c r="H675" s="6003"/>
      <c r="I675" s="5724"/>
      <c r="J675" s="5736"/>
      <c r="K675" s="1618"/>
      <c r="L675" s="808"/>
      <c r="M675" s="808"/>
      <c r="N675" s="808"/>
      <c r="O675" s="808"/>
      <c r="P675" s="808"/>
      <c r="Q675" s="808"/>
      <c r="R675" s="772"/>
      <c r="S675" s="718"/>
    </row>
    <row r="676" spans="1:19" s="660" customFormat="1" ht="13.5" customHeight="1">
      <c r="A676" s="5726"/>
      <c r="B676" s="5713"/>
      <c r="C676" s="5714"/>
      <c r="D676" s="5714" t="s">
        <v>11787</v>
      </c>
      <c r="E676" s="5714"/>
      <c r="F676" s="5619"/>
      <c r="G676" s="5724"/>
      <c r="H676" s="6003"/>
      <c r="I676" s="5757"/>
      <c r="J676" s="5736"/>
      <c r="K676" s="1618"/>
      <c r="L676" s="808"/>
      <c r="M676" s="808"/>
      <c r="N676" s="808"/>
      <c r="O676" s="808"/>
      <c r="P676" s="808"/>
      <c r="Q676" s="808"/>
      <c r="R676" s="772"/>
      <c r="S676" s="718"/>
    </row>
    <row r="677" spans="1:19" s="333" customFormat="1" ht="27" customHeight="1">
      <c r="A677" s="5712">
        <v>157</v>
      </c>
      <c r="B677" s="5713" t="s">
        <v>4103</v>
      </c>
      <c r="C677" s="5714" t="s">
        <v>12135</v>
      </c>
      <c r="D677" s="5715" t="s">
        <v>12136</v>
      </c>
      <c r="E677" s="5716" t="s">
        <v>155</v>
      </c>
      <c r="F677" s="5717">
        <f>SUM(F679)</f>
        <v>1</v>
      </c>
      <c r="G677" s="5718"/>
      <c r="H677" s="6002">
        <f>F677*G677</f>
        <v>0</v>
      </c>
      <c r="I677" s="5719" t="s">
        <v>60</v>
      </c>
      <c r="J677" s="5756"/>
      <c r="K677" s="1325"/>
    </row>
    <row r="678" spans="1:19" ht="27" customHeight="1">
      <c r="A678" s="5721"/>
      <c r="B678" s="5714"/>
      <c r="C678" s="5714"/>
      <c r="D678" s="5714" t="s">
        <v>11908</v>
      </c>
      <c r="E678" s="5714"/>
      <c r="F678" s="5723"/>
      <c r="G678" s="5724"/>
      <c r="H678" s="6003"/>
      <c r="I678" s="5724"/>
      <c r="J678" s="5756"/>
    </row>
    <row r="679" spans="1:19" s="660" customFormat="1" ht="13.5" customHeight="1">
      <c r="A679" s="5726"/>
      <c r="B679" s="5713"/>
      <c r="C679" s="5714"/>
      <c r="D679" s="5714" t="s">
        <v>11800</v>
      </c>
      <c r="E679" s="5714"/>
      <c r="F679" s="5619">
        <v>1</v>
      </c>
      <c r="G679" s="5724"/>
      <c r="H679" s="6003"/>
      <c r="I679" s="5724"/>
      <c r="J679" s="5736"/>
      <c r="K679" s="1618"/>
      <c r="L679" s="808"/>
      <c r="M679" s="808"/>
      <c r="N679" s="808"/>
      <c r="O679" s="808"/>
      <c r="P679" s="808"/>
      <c r="Q679" s="808"/>
      <c r="R679" s="772"/>
      <c r="S679" s="718"/>
    </row>
    <row r="680" spans="1:19" s="660" customFormat="1" ht="13.5" customHeight="1">
      <c r="A680" s="5726"/>
      <c r="B680" s="5713"/>
      <c r="C680" s="5714"/>
      <c r="D680" s="5714" t="s">
        <v>11787</v>
      </c>
      <c r="E680" s="5714"/>
      <c r="F680" s="5619"/>
      <c r="G680" s="5724"/>
      <c r="H680" s="6003"/>
      <c r="I680" s="5757"/>
      <c r="J680" s="5736"/>
      <c r="K680" s="1618"/>
      <c r="L680" s="808"/>
      <c r="M680" s="808"/>
      <c r="N680" s="808"/>
      <c r="O680" s="808"/>
      <c r="P680" s="808"/>
      <c r="Q680" s="808"/>
      <c r="R680" s="772"/>
      <c r="S680" s="718"/>
    </row>
    <row r="681" spans="1:19" s="333" customFormat="1" ht="27" customHeight="1">
      <c r="A681" s="5712">
        <v>158</v>
      </c>
      <c r="B681" s="5713" t="s">
        <v>4103</v>
      </c>
      <c r="C681" s="5714" t="s">
        <v>12137</v>
      </c>
      <c r="D681" s="5715" t="s">
        <v>12138</v>
      </c>
      <c r="E681" s="5716" t="s">
        <v>155</v>
      </c>
      <c r="F681" s="5717">
        <f>SUM(F683)</f>
        <v>1</v>
      </c>
      <c r="G681" s="5718"/>
      <c r="H681" s="6002">
        <f>F681*G681</f>
        <v>0</v>
      </c>
      <c r="I681" s="5719" t="s">
        <v>60</v>
      </c>
      <c r="J681" s="5756"/>
      <c r="K681" s="1325"/>
    </row>
    <row r="682" spans="1:19" ht="27" customHeight="1">
      <c r="A682" s="5721"/>
      <c r="B682" s="5714"/>
      <c r="C682" s="5714"/>
      <c r="D682" s="5714" t="s">
        <v>11908</v>
      </c>
      <c r="E682" s="5714"/>
      <c r="F682" s="5723"/>
      <c r="G682" s="5724"/>
      <c r="H682" s="6003"/>
      <c r="I682" s="5724"/>
      <c r="J682" s="5756"/>
    </row>
    <row r="683" spans="1:19" s="660" customFormat="1" ht="13.5" customHeight="1">
      <c r="A683" s="5726"/>
      <c r="B683" s="5713"/>
      <c r="C683" s="5714"/>
      <c r="D683" s="5714" t="s">
        <v>11800</v>
      </c>
      <c r="E683" s="5714"/>
      <c r="F683" s="5619">
        <v>1</v>
      </c>
      <c r="G683" s="5724"/>
      <c r="H683" s="6003"/>
      <c r="I683" s="5724"/>
      <c r="J683" s="5736"/>
      <c r="K683" s="1618"/>
      <c r="L683" s="808"/>
      <c r="M683" s="808"/>
      <c r="N683" s="808"/>
      <c r="O683" s="808"/>
      <c r="P683" s="808"/>
      <c r="Q683" s="808"/>
      <c r="R683" s="772"/>
      <c r="S683" s="718"/>
    </row>
    <row r="684" spans="1:19" s="660" customFormat="1" ht="13.5" customHeight="1">
      <c r="A684" s="5726"/>
      <c r="B684" s="5713"/>
      <c r="C684" s="5714"/>
      <c r="D684" s="5714" t="s">
        <v>11787</v>
      </c>
      <c r="E684" s="5714"/>
      <c r="F684" s="5619"/>
      <c r="G684" s="5724"/>
      <c r="H684" s="6003"/>
      <c r="I684" s="5757"/>
      <c r="J684" s="5736"/>
      <c r="K684" s="1618"/>
      <c r="L684" s="808"/>
      <c r="M684" s="808"/>
      <c r="N684" s="808"/>
      <c r="O684" s="808"/>
      <c r="P684" s="808"/>
      <c r="Q684" s="808"/>
      <c r="R684" s="772"/>
      <c r="S684" s="718"/>
    </row>
    <row r="685" spans="1:19" s="333" customFormat="1" ht="27" customHeight="1">
      <c r="A685" s="5712">
        <v>159</v>
      </c>
      <c r="B685" s="5713" t="s">
        <v>4103</v>
      </c>
      <c r="C685" s="5714" t="s">
        <v>12139</v>
      </c>
      <c r="D685" s="5715" t="s">
        <v>12140</v>
      </c>
      <c r="E685" s="5716" t="s">
        <v>155</v>
      </c>
      <c r="F685" s="5717">
        <f>SUM(F687)</f>
        <v>1</v>
      </c>
      <c r="G685" s="5718"/>
      <c r="H685" s="6002">
        <f>F685*G685</f>
        <v>0</v>
      </c>
      <c r="I685" s="5719" t="s">
        <v>60</v>
      </c>
      <c r="J685" s="5756"/>
      <c r="K685" s="1325"/>
    </row>
    <row r="686" spans="1:19" ht="27" customHeight="1">
      <c r="A686" s="5721"/>
      <c r="B686" s="5714"/>
      <c r="C686" s="5714"/>
      <c r="D686" s="5714" t="s">
        <v>11908</v>
      </c>
      <c r="E686" s="5714"/>
      <c r="F686" s="5723"/>
      <c r="G686" s="5724"/>
      <c r="H686" s="6003"/>
      <c r="I686" s="5724"/>
      <c r="J686" s="5756"/>
    </row>
    <row r="687" spans="1:19" s="660" customFormat="1" ht="13.5" customHeight="1">
      <c r="A687" s="5726"/>
      <c r="B687" s="5713"/>
      <c r="C687" s="5714"/>
      <c r="D687" s="5714" t="s">
        <v>11800</v>
      </c>
      <c r="E687" s="5714"/>
      <c r="F687" s="5619">
        <v>1</v>
      </c>
      <c r="G687" s="5724"/>
      <c r="H687" s="6003"/>
      <c r="I687" s="5724"/>
      <c r="J687" s="5736"/>
      <c r="K687" s="1618"/>
      <c r="L687" s="808"/>
      <c r="M687" s="808"/>
      <c r="N687" s="808"/>
      <c r="O687" s="808"/>
      <c r="P687" s="808"/>
      <c r="Q687" s="808"/>
      <c r="R687" s="772"/>
      <c r="S687" s="718"/>
    </row>
    <row r="688" spans="1:19" s="660" customFormat="1" ht="13.5" customHeight="1">
      <c r="A688" s="5726"/>
      <c r="B688" s="5713"/>
      <c r="C688" s="5714"/>
      <c r="D688" s="5714" t="s">
        <v>11787</v>
      </c>
      <c r="E688" s="5714"/>
      <c r="F688" s="5619"/>
      <c r="G688" s="5724"/>
      <c r="H688" s="6003"/>
      <c r="I688" s="5757"/>
      <c r="J688" s="5736"/>
      <c r="K688" s="1618"/>
      <c r="L688" s="808"/>
      <c r="M688" s="808"/>
      <c r="N688" s="808"/>
      <c r="O688" s="808"/>
      <c r="P688" s="808"/>
      <c r="Q688" s="808"/>
      <c r="R688" s="772"/>
      <c r="S688" s="718"/>
    </row>
    <row r="689" spans="1:19" s="333" customFormat="1" ht="27" customHeight="1">
      <c r="A689" s="5712">
        <v>160</v>
      </c>
      <c r="B689" s="5713" t="s">
        <v>4103</v>
      </c>
      <c r="C689" s="5714" t="s">
        <v>12141</v>
      </c>
      <c r="D689" s="5715" t="s">
        <v>12142</v>
      </c>
      <c r="E689" s="5716" t="s">
        <v>155</v>
      </c>
      <c r="F689" s="5717">
        <f>SUM(F691)</f>
        <v>1</v>
      </c>
      <c r="G689" s="5718"/>
      <c r="H689" s="6002">
        <f>F689*G689</f>
        <v>0</v>
      </c>
      <c r="I689" s="5719" t="s">
        <v>60</v>
      </c>
      <c r="J689" s="5756"/>
      <c r="K689" s="1325"/>
    </row>
    <row r="690" spans="1:19" ht="27" customHeight="1">
      <c r="A690" s="5721"/>
      <c r="B690" s="5714"/>
      <c r="C690" s="5714"/>
      <c r="D690" s="5714" t="s">
        <v>11908</v>
      </c>
      <c r="E690" s="5714"/>
      <c r="F690" s="5723"/>
      <c r="G690" s="5724"/>
      <c r="H690" s="6003"/>
      <c r="I690" s="5724"/>
      <c r="J690" s="5756"/>
    </row>
    <row r="691" spans="1:19" s="660" customFormat="1" ht="13.5" customHeight="1">
      <c r="A691" s="5726"/>
      <c r="B691" s="5713"/>
      <c r="C691" s="5714"/>
      <c r="D691" s="5714" t="s">
        <v>11800</v>
      </c>
      <c r="E691" s="5714"/>
      <c r="F691" s="5619">
        <v>1</v>
      </c>
      <c r="G691" s="5724"/>
      <c r="H691" s="6003"/>
      <c r="I691" s="5724"/>
      <c r="J691" s="5736"/>
      <c r="K691" s="1618"/>
      <c r="L691" s="808"/>
      <c r="M691" s="808"/>
      <c r="N691" s="808"/>
      <c r="O691" s="808"/>
      <c r="P691" s="808"/>
      <c r="Q691" s="808"/>
      <c r="R691" s="772"/>
      <c r="S691" s="718"/>
    </row>
    <row r="692" spans="1:19" s="660" customFormat="1" ht="13.5" customHeight="1">
      <c r="A692" s="5726"/>
      <c r="B692" s="5713"/>
      <c r="C692" s="5714"/>
      <c r="D692" s="5714" t="s">
        <v>11787</v>
      </c>
      <c r="E692" s="5714"/>
      <c r="F692" s="5619"/>
      <c r="G692" s="5724"/>
      <c r="H692" s="6003"/>
      <c r="I692" s="5757"/>
      <c r="J692" s="5736"/>
      <c r="K692" s="1618"/>
      <c r="L692" s="808"/>
      <c r="M692" s="808"/>
      <c r="N692" s="808"/>
      <c r="O692" s="808"/>
      <c r="P692" s="808"/>
      <c r="Q692" s="808"/>
      <c r="R692" s="772"/>
      <c r="S692" s="718"/>
    </row>
    <row r="693" spans="1:19" s="333" customFormat="1" ht="27" customHeight="1">
      <c r="A693" s="5712">
        <v>161</v>
      </c>
      <c r="B693" s="5713" t="s">
        <v>4103</v>
      </c>
      <c r="C693" s="5714" t="s">
        <v>12143</v>
      </c>
      <c r="D693" s="5715" t="s">
        <v>12144</v>
      </c>
      <c r="E693" s="5716" t="s">
        <v>155</v>
      </c>
      <c r="F693" s="5717">
        <f>SUM(F695)</f>
        <v>1</v>
      </c>
      <c r="G693" s="5718"/>
      <c r="H693" s="6002">
        <f>F693*G693</f>
        <v>0</v>
      </c>
      <c r="I693" s="5719" t="s">
        <v>60</v>
      </c>
      <c r="J693" s="5756"/>
      <c r="K693" s="1325"/>
    </row>
    <row r="694" spans="1:19" ht="27" customHeight="1">
      <c r="A694" s="5721"/>
      <c r="B694" s="5714"/>
      <c r="C694" s="5714"/>
      <c r="D694" s="5714" t="s">
        <v>11933</v>
      </c>
      <c r="E694" s="5714"/>
      <c r="F694" s="5723"/>
      <c r="G694" s="5724"/>
      <c r="H694" s="6003"/>
      <c r="I694" s="5724"/>
      <c r="J694" s="5756"/>
    </row>
    <row r="695" spans="1:19" s="660" customFormat="1" ht="13.5" customHeight="1">
      <c r="A695" s="5726"/>
      <c r="B695" s="5713"/>
      <c r="C695" s="5714"/>
      <c r="D695" s="5714" t="s">
        <v>11800</v>
      </c>
      <c r="E695" s="5714"/>
      <c r="F695" s="5619">
        <v>1</v>
      </c>
      <c r="G695" s="5724"/>
      <c r="H695" s="6003"/>
      <c r="I695" s="5724"/>
      <c r="J695" s="5736"/>
      <c r="K695" s="1618"/>
      <c r="L695" s="808"/>
      <c r="M695" s="808"/>
      <c r="N695" s="808"/>
      <c r="O695" s="808"/>
      <c r="P695" s="808"/>
      <c r="Q695" s="808"/>
      <c r="R695" s="772"/>
      <c r="S695" s="718"/>
    </row>
    <row r="696" spans="1:19" s="660" customFormat="1" ht="13.5" customHeight="1">
      <c r="A696" s="5726"/>
      <c r="B696" s="5713"/>
      <c r="C696" s="5714"/>
      <c r="D696" s="5714" t="s">
        <v>11787</v>
      </c>
      <c r="E696" s="5714"/>
      <c r="F696" s="5619"/>
      <c r="G696" s="5724"/>
      <c r="H696" s="6003"/>
      <c r="I696" s="5757"/>
      <c r="J696" s="5736"/>
      <c r="K696" s="1618"/>
      <c r="L696" s="808"/>
      <c r="M696" s="808"/>
      <c r="N696" s="808"/>
      <c r="O696" s="808"/>
      <c r="P696" s="808"/>
      <c r="Q696" s="808"/>
      <c r="R696" s="772"/>
      <c r="S696" s="718"/>
    </row>
    <row r="697" spans="1:19" s="333" customFormat="1" ht="27" customHeight="1">
      <c r="A697" s="5712">
        <v>162</v>
      </c>
      <c r="B697" s="5713" t="s">
        <v>4103</v>
      </c>
      <c r="C697" s="5714" t="s">
        <v>12145</v>
      </c>
      <c r="D697" s="5715" t="s">
        <v>12146</v>
      </c>
      <c r="E697" s="5716" t="s">
        <v>155</v>
      </c>
      <c r="F697" s="5717">
        <f>SUM(F699)</f>
        <v>1</v>
      </c>
      <c r="G697" s="5718"/>
      <c r="H697" s="6002">
        <f>F697*G697</f>
        <v>0</v>
      </c>
      <c r="I697" s="5719" t="s">
        <v>60</v>
      </c>
      <c r="J697" s="5756"/>
      <c r="K697" s="1325"/>
    </row>
    <row r="698" spans="1:19" ht="27" customHeight="1">
      <c r="A698" s="5721"/>
      <c r="B698" s="5714"/>
      <c r="C698" s="5714"/>
      <c r="D698" s="5714" t="s">
        <v>11971</v>
      </c>
      <c r="E698" s="5714"/>
      <c r="F698" s="5723"/>
      <c r="G698" s="5724"/>
      <c r="H698" s="6003"/>
      <c r="I698" s="5724"/>
      <c r="J698" s="5756"/>
    </row>
    <row r="699" spans="1:19" s="660" customFormat="1" ht="13.5" customHeight="1">
      <c r="A699" s="5726"/>
      <c r="B699" s="5713"/>
      <c r="C699" s="5714"/>
      <c r="D699" s="5714" t="s">
        <v>11800</v>
      </c>
      <c r="E699" s="5714"/>
      <c r="F699" s="5619">
        <v>1</v>
      </c>
      <c r="G699" s="5724"/>
      <c r="H699" s="6003"/>
      <c r="I699" s="5724"/>
      <c r="J699" s="5736"/>
      <c r="K699" s="1618"/>
      <c r="L699" s="808"/>
      <c r="M699" s="808"/>
      <c r="N699" s="808"/>
      <c r="O699" s="808"/>
      <c r="P699" s="808"/>
      <c r="Q699" s="808"/>
      <c r="R699" s="772"/>
      <c r="S699" s="718"/>
    </row>
    <row r="700" spans="1:19" s="660" customFormat="1" ht="13.5" customHeight="1">
      <c r="A700" s="5726"/>
      <c r="B700" s="5713"/>
      <c r="C700" s="5714"/>
      <c r="D700" s="5714" t="s">
        <v>11787</v>
      </c>
      <c r="E700" s="5714"/>
      <c r="F700" s="5619"/>
      <c r="G700" s="5724"/>
      <c r="H700" s="6003"/>
      <c r="I700" s="5757"/>
      <c r="J700" s="5736"/>
      <c r="K700" s="1618"/>
      <c r="L700" s="808"/>
      <c r="M700" s="808"/>
      <c r="N700" s="808"/>
      <c r="O700" s="808"/>
      <c r="P700" s="808"/>
      <c r="Q700" s="808"/>
      <c r="R700" s="772"/>
      <c r="S700" s="718"/>
    </row>
    <row r="701" spans="1:19" s="333" customFormat="1" ht="27" customHeight="1">
      <c r="A701" s="5712">
        <v>163</v>
      </c>
      <c r="B701" s="5713" t="s">
        <v>4103</v>
      </c>
      <c r="C701" s="5714" t="s">
        <v>12147</v>
      </c>
      <c r="D701" s="5715" t="s">
        <v>12148</v>
      </c>
      <c r="E701" s="5716" t="s">
        <v>155</v>
      </c>
      <c r="F701" s="5717">
        <f>SUM(F703)</f>
        <v>1</v>
      </c>
      <c r="G701" s="5718"/>
      <c r="H701" s="6002">
        <f>F701*G701</f>
        <v>0</v>
      </c>
      <c r="I701" s="5719" t="s">
        <v>60</v>
      </c>
      <c r="J701" s="5756"/>
      <c r="K701" s="1325"/>
    </row>
    <row r="702" spans="1:19" ht="27" customHeight="1">
      <c r="A702" s="5721"/>
      <c r="B702" s="5714"/>
      <c r="C702" s="5714"/>
      <c r="D702" s="5714" t="s">
        <v>11971</v>
      </c>
      <c r="E702" s="5714"/>
      <c r="F702" s="5723"/>
      <c r="G702" s="5724"/>
      <c r="H702" s="6003"/>
      <c r="I702" s="5724"/>
      <c r="J702" s="5756"/>
    </row>
    <row r="703" spans="1:19" s="660" customFormat="1" ht="13.5" customHeight="1">
      <c r="A703" s="5726"/>
      <c r="B703" s="5713"/>
      <c r="C703" s="5714"/>
      <c r="D703" s="5714" t="s">
        <v>11800</v>
      </c>
      <c r="E703" s="5714"/>
      <c r="F703" s="5619">
        <v>1</v>
      </c>
      <c r="G703" s="5724"/>
      <c r="H703" s="6003"/>
      <c r="I703" s="5724"/>
      <c r="J703" s="5736"/>
      <c r="K703" s="1618"/>
      <c r="L703" s="808"/>
      <c r="M703" s="808"/>
      <c r="N703" s="808"/>
      <c r="O703" s="808"/>
      <c r="P703" s="808"/>
      <c r="Q703" s="808"/>
      <c r="R703" s="772"/>
      <c r="S703" s="718"/>
    </row>
    <row r="704" spans="1:19" s="660" customFormat="1" ht="13.5" customHeight="1">
      <c r="A704" s="5726"/>
      <c r="B704" s="5713"/>
      <c r="C704" s="5714"/>
      <c r="D704" s="5714" t="s">
        <v>11787</v>
      </c>
      <c r="E704" s="5714"/>
      <c r="F704" s="5619"/>
      <c r="G704" s="5724"/>
      <c r="H704" s="6003"/>
      <c r="I704" s="5757"/>
      <c r="J704" s="5736"/>
      <c r="K704" s="1618"/>
      <c r="L704" s="808"/>
      <c r="M704" s="808"/>
      <c r="N704" s="808"/>
      <c r="O704" s="808"/>
      <c r="P704" s="808"/>
      <c r="Q704" s="808"/>
      <c r="R704" s="772"/>
      <c r="S704" s="718"/>
    </row>
    <row r="705" spans="1:19" s="333" customFormat="1" ht="27" customHeight="1">
      <c r="A705" s="5712">
        <v>164</v>
      </c>
      <c r="B705" s="5713" t="s">
        <v>4103</v>
      </c>
      <c r="C705" s="5714" t="s">
        <v>12149</v>
      </c>
      <c r="D705" s="5715" t="s">
        <v>12150</v>
      </c>
      <c r="E705" s="5716" t="s">
        <v>155</v>
      </c>
      <c r="F705" s="5717">
        <f>SUM(F707)</f>
        <v>1</v>
      </c>
      <c r="G705" s="5718"/>
      <c r="H705" s="6002">
        <f>F705*G705</f>
        <v>0</v>
      </c>
      <c r="I705" s="5719" t="s">
        <v>60</v>
      </c>
      <c r="J705" s="5756"/>
      <c r="K705" s="1325"/>
    </row>
    <row r="706" spans="1:19" ht="27" customHeight="1">
      <c r="A706" s="5721"/>
      <c r="B706" s="5714"/>
      <c r="C706" s="5714"/>
      <c r="D706" s="5714" t="s">
        <v>11933</v>
      </c>
      <c r="E706" s="5714"/>
      <c r="F706" s="5723"/>
      <c r="G706" s="5724"/>
      <c r="H706" s="6003"/>
      <c r="I706" s="5724"/>
      <c r="J706" s="5756"/>
    </row>
    <row r="707" spans="1:19" s="660" customFormat="1" ht="13.5" customHeight="1">
      <c r="A707" s="5726"/>
      <c r="B707" s="5713"/>
      <c r="C707" s="5714"/>
      <c r="D707" s="5714" t="s">
        <v>11800</v>
      </c>
      <c r="E707" s="5714"/>
      <c r="F707" s="5619">
        <v>1</v>
      </c>
      <c r="G707" s="5724"/>
      <c r="H707" s="6003"/>
      <c r="I707" s="5724"/>
      <c r="J707" s="5736"/>
      <c r="K707" s="1618"/>
      <c r="L707" s="808"/>
      <c r="M707" s="808"/>
      <c r="N707" s="808"/>
      <c r="O707" s="808"/>
      <c r="P707" s="808"/>
      <c r="Q707" s="808"/>
      <c r="R707" s="772"/>
      <c r="S707" s="718"/>
    </row>
    <row r="708" spans="1:19" s="660" customFormat="1" ht="13.5" customHeight="1">
      <c r="A708" s="5726"/>
      <c r="B708" s="5713"/>
      <c r="C708" s="5714"/>
      <c r="D708" s="5714" t="s">
        <v>11787</v>
      </c>
      <c r="E708" s="5714"/>
      <c r="F708" s="5619"/>
      <c r="G708" s="5724"/>
      <c r="H708" s="6003"/>
      <c r="I708" s="5757"/>
      <c r="J708" s="5736"/>
      <c r="K708" s="1618"/>
      <c r="L708" s="808"/>
      <c r="M708" s="808"/>
      <c r="N708" s="808"/>
      <c r="O708" s="808"/>
      <c r="P708" s="808"/>
      <c r="Q708" s="808"/>
      <c r="R708" s="772"/>
      <c r="S708" s="718"/>
    </row>
    <row r="709" spans="1:19" s="333" customFormat="1" ht="27" customHeight="1">
      <c r="A709" s="5712">
        <v>165</v>
      </c>
      <c r="B709" s="5713" t="s">
        <v>4103</v>
      </c>
      <c r="C709" s="5714" t="s">
        <v>12151</v>
      </c>
      <c r="D709" s="5715" t="s">
        <v>12152</v>
      </c>
      <c r="E709" s="5716" t="s">
        <v>155</v>
      </c>
      <c r="F709" s="5717">
        <f>SUM(F711)</f>
        <v>1</v>
      </c>
      <c r="G709" s="5718"/>
      <c r="H709" s="6002">
        <f>F709*G709</f>
        <v>0</v>
      </c>
      <c r="I709" s="5719" t="s">
        <v>60</v>
      </c>
      <c r="J709" s="5756"/>
      <c r="K709" s="1325"/>
    </row>
    <row r="710" spans="1:19" ht="27" customHeight="1">
      <c r="A710" s="5721"/>
      <c r="B710" s="5714"/>
      <c r="C710" s="5714"/>
      <c r="D710" s="5714" t="s">
        <v>11933</v>
      </c>
      <c r="E710" s="5714"/>
      <c r="F710" s="5723"/>
      <c r="G710" s="5724"/>
      <c r="H710" s="6003"/>
      <c r="I710" s="5724"/>
      <c r="J710" s="5756"/>
    </row>
    <row r="711" spans="1:19" s="660" customFormat="1" ht="13.5" customHeight="1">
      <c r="A711" s="5726"/>
      <c r="B711" s="5713"/>
      <c r="C711" s="5714"/>
      <c r="D711" s="5714" t="s">
        <v>11800</v>
      </c>
      <c r="E711" s="5714"/>
      <c r="F711" s="5619">
        <v>1</v>
      </c>
      <c r="G711" s="5724"/>
      <c r="H711" s="6003"/>
      <c r="I711" s="5724"/>
      <c r="J711" s="5736"/>
      <c r="K711" s="1618"/>
      <c r="L711" s="808"/>
      <c r="M711" s="808"/>
      <c r="N711" s="808"/>
      <c r="O711" s="808"/>
      <c r="P711" s="808"/>
      <c r="Q711" s="808"/>
      <c r="R711" s="772"/>
      <c r="S711" s="718"/>
    </row>
    <row r="712" spans="1:19" s="660" customFormat="1" ht="13.5" customHeight="1">
      <c r="A712" s="5726"/>
      <c r="B712" s="5713"/>
      <c r="C712" s="5714"/>
      <c r="D712" s="5714" t="s">
        <v>11787</v>
      </c>
      <c r="E712" s="5714"/>
      <c r="F712" s="5619"/>
      <c r="G712" s="5724"/>
      <c r="H712" s="6003"/>
      <c r="I712" s="5757"/>
      <c r="J712" s="5736"/>
      <c r="K712" s="1618"/>
      <c r="L712" s="808"/>
      <c r="M712" s="808"/>
      <c r="N712" s="808"/>
      <c r="O712" s="808"/>
      <c r="P712" s="808"/>
      <c r="Q712" s="808"/>
      <c r="R712" s="772"/>
      <c r="S712" s="718"/>
    </row>
    <row r="713" spans="1:19" s="333" customFormat="1" ht="27" customHeight="1">
      <c r="A713" s="5712">
        <v>166</v>
      </c>
      <c r="B713" s="5713" t="s">
        <v>4103</v>
      </c>
      <c r="C713" s="5714" t="s">
        <v>12153</v>
      </c>
      <c r="D713" s="5715" t="s">
        <v>12154</v>
      </c>
      <c r="E713" s="5716" t="s">
        <v>155</v>
      </c>
      <c r="F713" s="5717">
        <f>SUM(F715)</f>
        <v>1</v>
      </c>
      <c r="G713" s="5718"/>
      <c r="H713" s="6002">
        <f>F713*G713</f>
        <v>0</v>
      </c>
      <c r="I713" s="5719" t="s">
        <v>60</v>
      </c>
      <c r="J713" s="5756"/>
      <c r="K713" s="1325"/>
    </row>
    <row r="714" spans="1:19" ht="27" customHeight="1">
      <c r="A714" s="5721"/>
      <c r="B714" s="5714"/>
      <c r="C714" s="5714"/>
      <c r="D714" s="5714" t="s">
        <v>11933</v>
      </c>
      <c r="E714" s="5714"/>
      <c r="F714" s="5723"/>
      <c r="G714" s="5724"/>
      <c r="H714" s="6003"/>
      <c r="I714" s="5724"/>
      <c r="J714" s="5756"/>
    </row>
    <row r="715" spans="1:19" s="660" customFormat="1" ht="13.5" customHeight="1">
      <c r="A715" s="5726"/>
      <c r="B715" s="5713"/>
      <c r="C715" s="5714"/>
      <c r="D715" s="5714" t="s">
        <v>11800</v>
      </c>
      <c r="E715" s="5714"/>
      <c r="F715" s="5619">
        <v>1</v>
      </c>
      <c r="G715" s="5724"/>
      <c r="H715" s="6003"/>
      <c r="I715" s="5724"/>
      <c r="J715" s="5736"/>
      <c r="K715" s="1618"/>
      <c r="L715" s="808"/>
      <c r="M715" s="808"/>
      <c r="N715" s="808"/>
      <c r="O715" s="808"/>
      <c r="P715" s="808"/>
      <c r="Q715" s="808"/>
      <c r="R715" s="772"/>
      <c r="S715" s="718"/>
    </row>
    <row r="716" spans="1:19" s="660" customFormat="1" ht="13.5" customHeight="1">
      <c r="A716" s="5726"/>
      <c r="B716" s="5713"/>
      <c r="C716" s="5714"/>
      <c r="D716" s="5714" t="s">
        <v>11787</v>
      </c>
      <c r="E716" s="5714"/>
      <c r="F716" s="5619"/>
      <c r="G716" s="5724"/>
      <c r="H716" s="6003"/>
      <c r="I716" s="5757"/>
      <c r="J716" s="5736"/>
      <c r="K716" s="1618"/>
      <c r="L716" s="808"/>
      <c r="M716" s="808"/>
      <c r="N716" s="808"/>
      <c r="O716" s="808"/>
      <c r="P716" s="808"/>
      <c r="Q716" s="808"/>
      <c r="R716" s="772"/>
      <c r="S716" s="718"/>
    </row>
    <row r="717" spans="1:19" s="333" customFormat="1" ht="27" customHeight="1">
      <c r="A717" s="5712">
        <v>167</v>
      </c>
      <c r="B717" s="5713" t="s">
        <v>4103</v>
      </c>
      <c r="C717" s="5714" t="s">
        <v>12155</v>
      </c>
      <c r="D717" s="5715" t="s">
        <v>12156</v>
      </c>
      <c r="E717" s="5716" t="s">
        <v>155</v>
      </c>
      <c r="F717" s="5717">
        <f>SUM(F719)</f>
        <v>1</v>
      </c>
      <c r="G717" s="5718"/>
      <c r="H717" s="6002">
        <f>F717*G717</f>
        <v>0</v>
      </c>
      <c r="I717" s="5719" t="s">
        <v>60</v>
      </c>
      <c r="J717" s="5756"/>
      <c r="K717" s="1325"/>
    </row>
    <row r="718" spans="1:19" ht="27" customHeight="1">
      <c r="A718" s="5721"/>
      <c r="B718" s="5714"/>
      <c r="C718" s="5714"/>
      <c r="D718" s="5714" t="s">
        <v>11933</v>
      </c>
      <c r="E718" s="5714"/>
      <c r="F718" s="5723"/>
      <c r="G718" s="5724"/>
      <c r="H718" s="6003"/>
      <c r="I718" s="5724"/>
      <c r="J718" s="5756"/>
    </row>
    <row r="719" spans="1:19" s="660" customFormat="1" ht="13.5" customHeight="1">
      <c r="A719" s="5726"/>
      <c r="B719" s="5713"/>
      <c r="C719" s="5714"/>
      <c r="D719" s="5714" t="s">
        <v>11800</v>
      </c>
      <c r="E719" s="5714"/>
      <c r="F719" s="5619">
        <v>1</v>
      </c>
      <c r="G719" s="5724"/>
      <c r="H719" s="6003"/>
      <c r="I719" s="5724"/>
      <c r="J719" s="5736"/>
      <c r="K719" s="1618"/>
      <c r="L719" s="808"/>
      <c r="M719" s="808"/>
      <c r="N719" s="808"/>
      <c r="O719" s="808"/>
      <c r="P719" s="808"/>
      <c r="Q719" s="808"/>
      <c r="R719" s="772"/>
      <c r="S719" s="718"/>
    </row>
    <row r="720" spans="1:19" s="660" customFormat="1" ht="13.5" customHeight="1">
      <c r="A720" s="5726"/>
      <c r="B720" s="5713"/>
      <c r="C720" s="5714"/>
      <c r="D720" s="5714" t="s">
        <v>11787</v>
      </c>
      <c r="E720" s="5714"/>
      <c r="F720" s="5619"/>
      <c r="G720" s="5724"/>
      <c r="H720" s="6003"/>
      <c r="I720" s="5757"/>
      <c r="J720" s="5736"/>
      <c r="K720" s="1618"/>
      <c r="L720" s="808"/>
      <c r="M720" s="808"/>
      <c r="N720" s="808"/>
      <c r="O720" s="808"/>
      <c r="P720" s="808"/>
      <c r="Q720" s="808"/>
      <c r="R720" s="772"/>
      <c r="S720" s="718"/>
    </row>
    <row r="721" spans="1:19" s="333" customFormat="1" ht="27" customHeight="1">
      <c r="A721" s="5712">
        <v>168</v>
      </c>
      <c r="B721" s="5713" t="s">
        <v>4103</v>
      </c>
      <c r="C721" s="5714" t="s">
        <v>12157</v>
      </c>
      <c r="D721" s="5715" t="s">
        <v>12158</v>
      </c>
      <c r="E721" s="5716" t="s">
        <v>155</v>
      </c>
      <c r="F721" s="5717">
        <f>SUM(F723)</f>
        <v>1</v>
      </c>
      <c r="G721" s="5718"/>
      <c r="H721" s="6002">
        <f>F721*G721</f>
        <v>0</v>
      </c>
      <c r="I721" s="5719" t="s">
        <v>60</v>
      </c>
      <c r="J721" s="5756"/>
      <c r="K721" s="1325"/>
    </row>
    <row r="722" spans="1:19" ht="27" customHeight="1">
      <c r="A722" s="5721"/>
      <c r="B722" s="5714"/>
      <c r="C722" s="5714"/>
      <c r="D722" s="5714" t="s">
        <v>11933</v>
      </c>
      <c r="E722" s="5714"/>
      <c r="F722" s="5723"/>
      <c r="G722" s="5724"/>
      <c r="H722" s="6003"/>
      <c r="I722" s="5724"/>
      <c r="J722" s="5756"/>
    </row>
    <row r="723" spans="1:19" s="660" customFormat="1" ht="13.5" customHeight="1">
      <c r="A723" s="5726"/>
      <c r="B723" s="5713"/>
      <c r="C723" s="5714"/>
      <c r="D723" s="5714" t="s">
        <v>11800</v>
      </c>
      <c r="E723" s="5714"/>
      <c r="F723" s="5619">
        <v>1</v>
      </c>
      <c r="G723" s="5724"/>
      <c r="H723" s="6003"/>
      <c r="I723" s="5724"/>
      <c r="J723" s="5736"/>
      <c r="K723" s="1618"/>
      <c r="L723" s="808"/>
      <c r="M723" s="808"/>
      <c r="N723" s="808"/>
      <c r="O723" s="808"/>
      <c r="P723" s="808"/>
      <c r="Q723" s="808"/>
      <c r="R723" s="772"/>
      <c r="S723" s="718"/>
    </row>
    <row r="724" spans="1:19" s="660" customFormat="1" ht="13.5" customHeight="1">
      <c r="A724" s="5726"/>
      <c r="B724" s="5713"/>
      <c r="C724" s="5714"/>
      <c r="D724" s="5714" t="s">
        <v>11787</v>
      </c>
      <c r="E724" s="5714"/>
      <c r="F724" s="5619"/>
      <c r="G724" s="5724"/>
      <c r="H724" s="6003"/>
      <c r="I724" s="5757"/>
      <c r="J724" s="5736"/>
      <c r="K724" s="1618"/>
      <c r="L724" s="808"/>
      <c r="M724" s="808"/>
      <c r="N724" s="808"/>
      <c r="O724" s="808"/>
      <c r="P724" s="808"/>
      <c r="Q724" s="808"/>
      <c r="R724" s="772"/>
      <c r="S724" s="718"/>
    </row>
    <row r="725" spans="1:19" s="333" customFormat="1" ht="27" customHeight="1">
      <c r="A725" s="5712">
        <v>169</v>
      </c>
      <c r="B725" s="5713" t="s">
        <v>4103</v>
      </c>
      <c r="C725" s="5714" t="s">
        <v>12159</v>
      </c>
      <c r="D725" s="5715" t="s">
        <v>12160</v>
      </c>
      <c r="E725" s="5716" t="s">
        <v>155</v>
      </c>
      <c r="F725" s="5717">
        <f>SUM(F727)</f>
        <v>1</v>
      </c>
      <c r="G725" s="5718"/>
      <c r="H725" s="6002">
        <f>F725*G725</f>
        <v>0</v>
      </c>
      <c r="I725" s="5719" t="s">
        <v>60</v>
      </c>
      <c r="J725" s="5756"/>
      <c r="K725" s="1325"/>
    </row>
    <row r="726" spans="1:19" ht="27" customHeight="1">
      <c r="A726" s="5721"/>
      <c r="B726" s="5714"/>
      <c r="C726" s="5714"/>
      <c r="D726" s="5714" t="s">
        <v>11908</v>
      </c>
      <c r="E726" s="5714"/>
      <c r="F726" s="5723"/>
      <c r="G726" s="5724"/>
      <c r="H726" s="6003"/>
      <c r="I726" s="5724"/>
      <c r="J726" s="5756"/>
    </row>
    <row r="727" spans="1:19" s="660" customFormat="1" ht="13.5" customHeight="1">
      <c r="A727" s="5726"/>
      <c r="B727" s="5713"/>
      <c r="C727" s="5714"/>
      <c r="D727" s="5714" t="s">
        <v>11800</v>
      </c>
      <c r="E727" s="5714"/>
      <c r="F727" s="5619">
        <v>1</v>
      </c>
      <c r="G727" s="5724"/>
      <c r="H727" s="6003"/>
      <c r="I727" s="5724"/>
      <c r="J727" s="5736"/>
      <c r="K727" s="1618"/>
      <c r="L727" s="808"/>
      <c r="M727" s="808"/>
      <c r="N727" s="808"/>
      <c r="O727" s="808"/>
      <c r="P727" s="808"/>
      <c r="Q727" s="808"/>
      <c r="R727" s="772"/>
      <c r="S727" s="718"/>
    </row>
    <row r="728" spans="1:19" s="660" customFormat="1" ht="13.5" customHeight="1">
      <c r="A728" s="5726"/>
      <c r="B728" s="5713"/>
      <c r="C728" s="5714"/>
      <c r="D728" s="5714" t="s">
        <v>11787</v>
      </c>
      <c r="E728" s="5714"/>
      <c r="F728" s="5619"/>
      <c r="G728" s="5724"/>
      <c r="H728" s="6003"/>
      <c r="I728" s="5757"/>
      <c r="J728" s="5736"/>
      <c r="K728" s="1618"/>
      <c r="L728" s="808"/>
      <c r="M728" s="808"/>
      <c r="N728" s="808"/>
      <c r="O728" s="808"/>
      <c r="P728" s="808"/>
      <c r="Q728" s="808"/>
      <c r="R728" s="772"/>
      <c r="S728" s="718"/>
    </row>
    <row r="729" spans="1:19" s="333" customFormat="1" ht="27" customHeight="1">
      <c r="A729" s="5712">
        <v>170</v>
      </c>
      <c r="B729" s="5713" t="s">
        <v>4103</v>
      </c>
      <c r="C729" s="5714" t="s">
        <v>12161</v>
      </c>
      <c r="D729" s="5715" t="s">
        <v>12162</v>
      </c>
      <c r="E729" s="5716" t="s">
        <v>155</v>
      </c>
      <c r="F729" s="5717">
        <f>SUM(F731)</f>
        <v>1</v>
      </c>
      <c r="G729" s="5718"/>
      <c r="H729" s="6002">
        <f>F729*G729</f>
        <v>0</v>
      </c>
      <c r="I729" s="5719" t="s">
        <v>60</v>
      </c>
      <c r="J729" s="5756"/>
      <c r="K729" s="1325"/>
    </row>
    <row r="730" spans="1:19" ht="27" customHeight="1">
      <c r="A730" s="5721"/>
      <c r="B730" s="5714"/>
      <c r="C730" s="5714"/>
      <c r="D730" s="5714" t="s">
        <v>11908</v>
      </c>
      <c r="E730" s="5714"/>
      <c r="F730" s="5723"/>
      <c r="G730" s="5724"/>
      <c r="H730" s="6003"/>
      <c r="I730" s="5724"/>
      <c r="J730" s="5756"/>
    </row>
    <row r="731" spans="1:19" s="660" customFormat="1" ht="13.5" customHeight="1">
      <c r="A731" s="5726"/>
      <c r="B731" s="5713"/>
      <c r="C731" s="5714"/>
      <c r="D731" s="5714" t="s">
        <v>11800</v>
      </c>
      <c r="E731" s="5714"/>
      <c r="F731" s="5619">
        <v>1</v>
      </c>
      <c r="G731" s="5724"/>
      <c r="H731" s="6003"/>
      <c r="I731" s="5724"/>
      <c r="J731" s="5736"/>
      <c r="K731" s="1618"/>
      <c r="L731" s="808"/>
      <c r="M731" s="808"/>
      <c r="N731" s="808"/>
      <c r="O731" s="808"/>
      <c r="P731" s="808"/>
      <c r="Q731" s="808"/>
      <c r="R731" s="772"/>
      <c r="S731" s="718"/>
    </row>
    <row r="732" spans="1:19" s="660" customFormat="1" ht="13.5" customHeight="1">
      <c r="A732" s="5726"/>
      <c r="B732" s="5713"/>
      <c r="C732" s="5714"/>
      <c r="D732" s="5714" t="s">
        <v>11787</v>
      </c>
      <c r="E732" s="5714"/>
      <c r="F732" s="5619"/>
      <c r="G732" s="5724"/>
      <c r="H732" s="6003"/>
      <c r="I732" s="5757"/>
      <c r="J732" s="5736"/>
      <c r="K732" s="1618"/>
      <c r="L732" s="808"/>
      <c r="M732" s="808"/>
      <c r="N732" s="808"/>
      <c r="O732" s="808"/>
      <c r="P732" s="808"/>
      <c r="Q732" s="808"/>
      <c r="R732" s="772"/>
      <c r="S732" s="718"/>
    </row>
    <row r="733" spans="1:19" s="333" customFormat="1" ht="27" customHeight="1">
      <c r="A733" s="5712">
        <v>171</v>
      </c>
      <c r="B733" s="5713" t="s">
        <v>4103</v>
      </c>
      <c r="C733" s="5714" t="s">
        <v>12163</v>
      </c>
      <c r="D733" s="5715" t="s">
        <v>12164</v>
      </c>
      <c r="E733" s="5716" t="s">
        <v>155</v>
      </c>
      <c r="F733" s="5717">
        <f>SUM(F735)</f>
        <v>1</v>
      </c>
      <c r="G733" s="5718"/>
      <c r="H733" s="6002">
        <f>F733*G733</f>
        <v>0</v>
      </c>
      <c r="I733" s="5719" t="s">
        <v>60</v>
      </c>
      <c r="J733" s="5756"/>
      <c r="K733" s="1325"/>
    </row>
    <row r="734" spans="1:19" ht="27" customHeight="1">
      <c r="A734" s="5721"/>
      <c r="B734" s="5714"/>
      <c r="C734" s="5714"/>
      <c r="D734" s="5714" t="s">
        <v>11933</v>
      </c>
      <c r="E734" s="5714"/>
      <c r="F734" s="5723"/>
      <c r="G734" s="5724"/>
      <c r="H734" s="6003"/>
      <c r="I734" s="5724"/>
      <c r="J734" s="5756"/>
    </row>
    <row r="735" spans="1:19" s="660" customFormat="1" ht="13.5" customHeight="1">
      <c r="A735" s="5726"/>
      <c r="B735" s="5713"/>
      <c r="C735" s="5714"/>
      <c r="D735" s="5714" t="s">
        <v>11800</v>
      </c>
      <c r="E735" s="5714"/>
      <c r="F735" s="5619">
        <v>1</v>
      </c>
      <c r="G735" s="5724"/>
      <c r="H735" s="6003"/>
      <c r="I735" s="5724"/>
      <c r="J735" s="5736"/>
      <c r="K735" s="1618"/>
      <c r="L735" s="808"/>
      <c r="M735" s="808"/>
      <c r="N735" s="808"/>
      <c r="O735" s="808"/>
      <c r="P735" s="808"/>
      <c r="Q735" s="808"/>
      <c r="R735" s="772"/>
      <c r="S735" s="718"/>
    </row>
    <row r="736" spans="1:19" s="660" customFormat="1" ht="13.5" customHeight="1">
      <c r="A736" s="5726"/>
      <c r="B736" s="5713"/>
      <c r="C736" s="5714"/>
      <c r="D736" s="5714" t="s">
        <v>11787</v>
      </c>
      <c r="E736" s="5714"/>
      <c r="F736" s="5619"/>
      <c r="G736" s="5724"/>
      <c r="H736" s="6003"/>
      <c r="I736" s="5757"/>
      <c r="J736" s="5736"/>
      <c r="K736" s="1618"/>
      <c r="L736" s="808"/>
      <c r="M736" s="808"/>
      <c r="N736" s="808"/>
      <c r="O736" s="808"/>
      <c r="P736" s="808"/>
      <c r="Q736" s="808"/>
      <c r="R736" s="772"/>
      <c r="S736" s="718"/>
    </row>
    <row r="737" spans="1:19" s="333" customFormat="1" ht="27" customHeight="1">
      <c r="A737" s="5712">
        <v>172</v>
      </c>
      <c r="B737" s="5713" t="s">
        <v>4103</v>
      </c>
      <c r="C737" s="5714" t="s">
        <v>12165</v>
      </c>
      <c r="D737" s="5715" t="s">
        <v>12166</v>
      </c>
      <c r="E737" s="5716" t="s">
        <v>155</v>
      </c>
      <c r="F737" s="5717">
        <f>SUM(F739)</f>
        <v>1</v>
      </c>
      <c r="G737" s="5718"/>
      <c r="H737" s="6002">
        <f>F737*G737</f>
        <v>0</v>
      </c>
      <c r="I737" s="5719" t="s">
        <v>60</v>
      </c>
      <c r="J737" s="5756"/>
      <c r="K737" s="1325"/>
    </row>
    <row r="738" spans="1:19" ht="27" customHeight="1">
      <c r="A738" s="5721"/>
      <c r="B738" s="5714"/>
      <c r="C738" s="5714"/>
      <c r="D738" s="5714" t="s">
        <v>11933</v>
      </c>
      <c r="E738" s="5714"/>
      <c r="F738" s="5723"/>
      <c r="G738" s="5724"/>
      <c r="H738" s="6003"/>
      <c r="I738" s="5724"/>
      <c r="J738" s="5756"/>
    </row>
    <row r="739" spans="1:19" s="660" customFormat="1" ht="13.5" customHeight="1">
      <c r="A739" s="5726"/>
      <c r="B739" s="5713"/>
      <c r="C739" s="5714"/>
      <c r="D739" s="5714" t="s">
        <v>11800</v>
      </c>
      <c r="E739" s="5714"/>
      <c r="F739" s="5619">
        <v>1</v>
      </c>
      <c r="G739" s="5724"/>
      <c r="H739" s="6003"/>
      <c r="I739" s="5724"/>
      <c r="J739" s="5736"/>
      <c r="K739" s="1618"/>
      <c r="L739" s="808"/>
      <c r="M739" s="808"/>
      <c r="N739" s="808"/>
      <c r="O739" s="808"/>
      <c r="P739" s="808"/>
      <c r="Q739" s="808"/>
      <c r="R739" s="772"/>
      <c r="S739" s="718"/>
    </row>
    <row r="740" spans="1:19" s="660" customFormat="1" ht="13.5" customHeight="1">
      <c r="A740" s="5726"/>
      <c r="B740" s="5713"/>
      <c r="C740" s="5714"/>
      <c r="D740" s="5714" t="s">
        <v>11787</v>
      </c>
      <c r="E740" s="5714"/>
      <c r="F740" s="5619"/>
      <c r="G740" s="5724"/>
      <c r="H740" s="6003"/>
      <c r="I740" s="5757"/>
      <c r="J740" s="5736"/>
      <c r="K740" s="1618"/>
      <c r="L740" s="808"/>
      <c r="M740" s="808"/>
      <c r="N740" s="808"/>
      <c r="O740" s="808"/>
      <c r="P740" s="808"/>
      <c r="Q740" s="808"/>
      <c r="R740" s="772"/>
      <c r="S740" s="718"/>
    </row>
    <row r="741" spans="1:19" s="333" customFormat="1" ht="27" customHeight="1">
      <c r="A741" s="5712">
        <v>173</v>
      </c>
      <c r="B741" s="5713" t="s">
        <v>4103</v>
      </c>
      <c r="C741" s="5714" t="s">
        <v>12167</v>
      </c>
      <c r="D741" s="5715" t="s">
        <v>12168</v>
      </c>
      <c r="E741" s="5716" t="s">
        <v>155</v>
      </c>
      <c r="F741" s="5717">
        <f>SUM(F743)</f>
        <v>1</v>
      </c>
      <c r="G741" s="5718"/>
      <c r="H741" s="6002">
        <f>F741*G741</f>
        <v>0</v>
      </c>
      <c r="I741" s="5719" t="s">
        <v>60</v>
      </c>
      <c r="J741" s="5756"/>
      <c r="K741" s="1325"/>
    </row>
    <row r="742" spans="1:19" ht="27" customHeight="1">
      <c r="A742" s="5721"/>
      <c r="B742" s="5714"/>
      <c r="C742" s="5714"/>
      <c r="D742" s="5714" t="s">
        <v>11933</v>
      </c>
      <c r="E742" s="5714"/>
      <c r="F742" s="5723"/>
      <c r="G742" s="5724"/>
      <c r="H742" s="6003"/>
      <c r="I742" s="5724"/>
      <c r="J742" s="5756"/>
    </row>
    <row r="743" spans="1:19" s="660" customFormat="1" ht="13.5" customHeight="1">
      <c r="A743" s="5726"/>
      <c r="B743" s="5713"/>
      <c r="C743" s="5714"/>
      <c r="D743" s="5714" t="s">
        <v>11800</v>
      </c>
      <c r="E743" s="5714"/>
      <c r="F743" s="5619">
        <v>1</v>
      </c>
      <c r="G743" s="5724"/>
      <c r="H743" s="6003"/>
      <c r="I743" s="5724"/>
      <c r="J743" s="5736"/>
      <c r="K743" s="1618"/>
      <c r="L743" s="808"/>
      <c r="M743" s="808"/>
      <c r="N743" s="808"/>
      <c r="O743" s="808"/>
      <c r="P743" s="808"/>
      <c r="Q743" s="808"/>
      <c r="R743" s="772"/>
      <c r="S743" s="718"/>
    </row>
    <row r="744" spans="1:19" s="660" customFormat="1" ht="13.5" customHeight="1">
      <c r="A744" s="5726"/>
      <c r="B744" s="5713"/>
      <c r="C744" s="5714"/>
      <c r="D744" s="5714" t="s">
        <v>11787</v>
      </c>
      <c r="E744" s="5714"/>
      <c r="F744" s="5619"/>
      <c r="G744" s="5724"/>
      <c r="H744" s="6003"/>
      <c r="I744" s="5757"/>
      <c r="J744" s="5736"/>
      <c r="K744" s="1618"/>
      <c r="L744" s="808"/>
      <c r="M744" s="808"/>
      <c r="N744" s="808"/>
      <c r="O744" s="808"/>
      <c r="P744" s="808"/>
      <c r="Q744" s="808"/>
      <c r="R744" s="772"/>
      <c r="S744" s="718"/>
    </row>
    <row r="745" spans="1:19" s="808" customFormat="1" ht="27" customHeight="1">
      <c r="A745" s="5758">
        <v>174</v>
      </c>
      <c r="B745" s="5714">
        <v>766</v>
      </c>
      <c r="C745" s="5714" t="s">
        <v>12169</v>
      </c>
      <c r="D745" s="5714" t="s">
        <v>12170</v>
      </c>
      <c r="E745" s="5714" t="s">
        <v>155</v>
      </c>
      <c r="F745" s="5731">
        <f>SUM(F747)</f>
        <v>8</v>
      </c>
      <c r="G745" s="5724"/>
      <c r="H745" s="6003">
        <f>F745*G745</f>
        <v>0</v>
      </c>
      <c r="I745" s="5719" t="s">
        <v>60</v>
      </c>
      <c r="J745" s="5759"/>
    </row>
    <row r="746" spans="1:19" s="660" customFormat="1" ht="27" customHeight="1">
      <c r="A746" s="5758"/>
      <c r="B746" s="5714"/>
      <c r="C746" s="5714"/>
      <c r="D746" s="5714" t="s">
        <v>12171</v>
      </c>
      <c r="E746" s="5714"/>
      <c r="F746" s="5731"/>
      <c r="G746" s="5724"/>
      <c r="H746" s="6003"/>
      <c r="I746" s="5760"/>
      <c r="J746" s="5699"/>
    </row>
    <row r="747" spans="1:19" s="660" customFormat="1" ht="13.5" customHeight="1">
      <c r="A747" s="5758"/>
      <c r="B747" s="5714"/>
      <c r="C747" s="5714"/>
      <c r="D747" s="5714" t="s">
        <v>6330</v>
      </c>
      <c r="E747" s="5714"/>
      <c r="F747" s="5731">
        <v>8</v>
      </c>
      <c r="G747" s="5724"/>
      <c r="H747" s="6003"/>
      <c r="I747" s="5761"/>
      <c r="J747" s="5699"/>
    </row>
    <row r="748" spans="1:19" s="660" customFormat="1" ht="13.5" customHeight="1">
      <c r="A748" s="5758"/>
      <c r="B748" s="5714"/>
      <c r="C748" s="5714"/>
      <c r="D748" s="5714" t="s">
        <v>11787</v>
      </c>
      <c r="E748" s="5714"/>
      <c r="F748" s="5731"/>
      <c r="G748" s="5724"/>
      <c r="H748" s="6003"/>
      <c r="I748" s="5761"/>
      <c r="J748" s="5699"/>
    </row>
    <row r="749" spans="1:19" s="808" customFormat="1" ht="27" customHeight="1">
      <c r="A749" s="5758">
        <v>175</v>
      </c>
      <c r="B749" s="5714">
        <v>766</v>
      </c>
      <c r="C749" s="5714" t="s">
        <v>12172</v>
      </c>
      <c r="D749" s="5714" t="s">
        <v>12173</v>
      </c>
      <c r="E749" s="5714" t="s">
        <v>155</v>
      </c>
      <c r="F749" s="5731">
        <f>SUM(F751)</f>
        <v>7</v>
      </c>
      <c r="G749" s="5724"/>
      <c r="H749" s="6003">
        <f>F749*G749</f>
        <v>0</v>
      </c>
      <c r="I749" s="5719" t="s">
        <v>60</v>
      </c>
      <c r="J749" s="5759"/>
    </row>
    <row r="750" spans="1:19" s="660" customFormat="1" ht="27" customHeight="1">
      <c r="A750" s="5758"/>
      <c r="B750" s="5714"/>
      <c r="C750" s="5714"/>
      <c r="D750" s="5714" t="s">
        <v>12174</v>
      </c>
      <c r="E750" s="5714"/>
      <c r="F750" s="5731"/>
      <c r="G750" s="5724"/>
      <c r="H750" s="6003"/>
      <c r="I750" s="5760"/>
      <c r="J750" s="5699"/>
    </row>
    <row r="751" spans="1:19" s="660" customFormat="1" ht="13.5" customHeight="1">
      <c r="A751" s="5758"/>
      <c r="B751" s="5714"/>
      <c r="C751" s="5714"/>
      <c r="D751" s="5714" t="s">
        <v>6802</v>
      </c>
      <c r="E751" s="5714"/>
      <c r="F751" s="5731">
        <v>7</v>
      </c>
      <c r="G751" s="5724"/>
      <c r="H751" s="6003"/>
      <c r="I751" s="5761"/>
      <c r="J751" s="5699"/>
    </row>
    <row r="752" spans="1:19" s="660" customFormat="1" ht="13.5" customHeight="1">
      <c r="A752" s="5758"/>
      <c r="B752" s="5714"/>
      <c r="C752" s="5714"/>
      <c r="D752" s="5714" t="s">
        <v>11787</v>
      </c>
      <c r="E752" s="5714"/>
      <c r="F752" s="5731"/>
      <c r="G752" s="5724"/>
      <c r="H752" s="6003"/>
      <c r="I752" s="5761"/>
      <c r="J752" s="5699"/>
    </row>
    <row r="753" spans="1:10" s="808" customFormat="1" ht="27" customHeight="1">
      <c r="A753" s="5758">
        <v>176</v>
      </c>
      <c r="B753" s="5714">
        <v>766</v>
      </c>
      <c r="C753" s="5714" t="s">
        <v>12175</v>
      </c>
      <c r="D753" s="5714" t="s">
        <v>12176</v>
      </c>
      <c r="E753" s="5714" t="s">
        <v>155</v>
      </c>
      <c r="F753" s="5731">
        <f>SUM(F755)</f>
        <v>3</v>
      </c>
      <c r="G753" s="5724"/>
      <c r="H753" s="6003">
        <f>F753*G753</f>
        <v>0</v>
      </c>
      <c r="I753" s="5719" t="s">
        <v>60</v>
      </c>
      <c r="J753" s="5759"/>
    </row>
    <row r="754" spans="1:10" s="660" customFormat="1" ht="27" customHeight="1">
      <c r="A754" s="5758"/>
      <c r="B754" s="5714"/>
      <c r="C754" s="5714"/>
      <c r="D754" s="5714" t="s">
        <v>12171</v>
      </c>
      <c r="E754" s="5714"/>
      <c r="F754" s="5731"/>
      <c r="G754" s="5724"/>
      <c r="H754" s="6003"/>
      <c r="I754" s="5760"/>
      <c r="J754" s="5699"/>
    </row>
    <row r="755" spans="1:10" s="660" customFormat="1" ht="13.5" customHeight="1">
      <c r="A755" s="5758"/>
      <c r="B755" s="5714"/>
      <c r="C755" s="5714"/>
      <c r="D755" s="5714" t="s">
        <v>6802</v>
      </c>
      <c r="E755" s="5714"/>
      <c r="F755" s="5731">
        <v>3</v>
      </c>
      <c r="G755" s="5724"/>
      <c r="H755" s="6003"/>
      <c r="I755" s="5761"/>
      <c r="J755" s="5699"/>
    </row>
    <row r="756" spans="1:10" s="660" customFormat="1" ht="13.5" customHeight="1">
      <c r="A756" s="5758"/>
      <c r="B756" s="5714"/>
      <c r="C756" s="5714"/>
      <c r="D756" s="5714" t="s">
        <v>11787</v>
      </c>
      <c r="E756" s="5714"/>
      <c r="F756" s="5731"/>
      <c r="G756" s="5724"/>
      <c r="H756" s="6003"/>
      <c r="I756" s="5761"/>
      <c r="J756" s="5699"/>
    </row>
    <row r="757" spans="1:10" s="808" customFormat="1" ht="27" customHeight="1">
      <c r="A757" s="5758">
        <v>177</v>
      </c>
      <c r="B757" s="5714">
        <v>766</v>
      </c>
      <c r="C757" s="5714" t="s">
        <v>12177</v>
      </c>
      <c r="D757" s="5714" t="s">
        <v>12178</v>
      </c>
      <c r="E757" s="5714" t="s">
        <v>155</v>
      </c>
      <c r="F757" s="5731">
        <f>SUM(F759)</f>
        <v>1</v>
      </c>
      <c r="G757" s="5724"/>
      <c r="H757" s="6003">
        <f>F757*G757</f>
        <v>0</v>
      </c>
      <c r="I757" s="5719" t="s">
        <v>60</v>
      </c>
      <c r="J757" s="5759"/>
    </row>
    <row r="758" spans="1:10" s="660" customFormat="1" ht="27" customHeight="1">
      <c r="A758" s="5758"/>
      <c r="B758" s="5714"/>
      <c r="C758" s="5714"/>
      <c r="D758" s="5714" t="s">
        <v>12179</v>
      </c>
      <c r="E758" s="5714"/>
      <c r="F758" s="5731"/>
      <c r="G758" s="5724"/>
      <c r="H758" s="6003"/>
      <c r="I758" s="5760"/>
      <c r="J758" s="5699"/>
    </row>
    <row r="759" spans="1:10" s="660" customFormat="1" ht="13.5" customHeight="1">
      <c r="A759" s="5758"/>
      <c r="B759" s="5714"/>
      <c r="C759" s="5714"/>
      <c r="D759" s="5714" t="s">
        <v>6802</v>
      </c>
      <c r="E759" s="5714"/>
      <c r="F759" s="5731">
        <v>1</v>
      </c>
      <c r="G759" s="5724"/>
      <c r="H759" s="6003"/>
      <c r="I759" s="5761"/>
      <c r="J759" s="5699"/>
    </row>
    <row r="760" spans="1:10" s="660" customFormat="1" ht="13.5" customHeight="1">
      <c r="A760" s="5758"/>
      <c r="B760" s="5714"/>
      <c r="C760" s="5714"/>
      <c r="D760" s="5714" t="s">
        <v>11787</v>
      </c>
      <c r="E760" s="5714"/>
      <c r="F760" s="5731"/>
      <c r="G760" s="5724"/>
      <c r="H760" s="6003"/>
      <c r="I760" s="5761"/>
      <c r="J760" s="5699"/>
    </row>
    <row r="761" spans="1:10" s="808" customFormat="1" ht="40.5" customHeight="1">
      <c r="A761" s="5758">
        <v>178</v>
      </c>
      <c r="B761" s="5714">
        <v>766</v>
      </c>
      <c r="C761" s="5714" t="s">
        <v>12180</v>
      </c>
      <c r="D761" s="5714" t="s">
        <v>12181</v>
      </c>
      <c r="E761" s="5714" t="s">
        <v>155</v>
      </c>
      <c r="F761" s="5731">
        <f>SUM(F763)</f>
        <v>15</v>
      </c>
      <c r="G761" s="5724"/>
      <c r="H761" s="6003">
        <f>F761*G761</f>
        <v>0</v>
      </c>
      <c r="I761" s="5719" t="s">
        <v>60</v>
      </c>
      <c r="J761" s="5759"/>
    </row>
    <row r="762" spans="1:10" s="660" customFormat="1" ht="27" customHeight="1">
      <c r="A762" s="5758"/>
      <c r="B762" s="5714"/>
      <c r="C762" s="5714"/>
      <c r="D762" s="5714" t="s">
        <v>12174</v>
      </c>
      <c r="E762" s="5714"/>
      <c r="F762" s="5731"/>
      <c r="G762" s="5724"/>
      <c r="H762" s="6003"/>
      <c r="I762" s="5760"/>
      <c r="J762" s="5699"/>
    </row>
    <row r="763" spans="1:10" s="660" customFormat="1" ht="13.5" customHeight="1">
      <c r="A763" s="5758"/>
      <c r="B763" s="5714"/>
      <c r="C763" s="5714"/>
      <c r="D763" s="5714" t="s">
        <v>6803</v>
      </c>
      <c r="E763" s="5714"/>
      <c r="F763" s="5731">
        <v>15</v>
      </c>
      <c r="G763" s="5724"/>
      <c r="H763" s="6003"/>
      <c r="I763" s="5761"/>
      <c r="J763" s="5699"/>
    </row>
    <row r="764" spans="1:10" s="660" customFormat="1" ht="13.5" customHeight="1">
      <c r="A764" s="5758"/>
      <c r="B764" s="5714"/>
      <c r="C764" s="5714"/>
      <c r="D764" s="5714" t="s">
        <v>11787</v>
      </c>
      <c r="E764" s="5714"/>
      <c r="F764" s="5731"/>
      <c r="G764" s="5724"/>
      <c r="H764" s="6003"/>
      <c r="I764" s="5761"/>
      <c r="J764" s="5699"/>
    </row>
    <row r="765" spans="1:10" s="808" customFormat="1" ht="40.5" customHeight="1">
      <c r="A765" s="5758">
        <v>179</v>
      </c>
      <c r="B765" s="5714">
        <v>766</v>
      </c>
      <c r="C765" s="5714" t="s">
        <v>12182</v>
      </c>
      <c r="D765" s="5714" t="s">
        <v>12183</v>
      </c>
      <c r="E765" s="5714" t="s">
        <v>155</v>
      </c>
      <c r="F765" s="5731">
        <f>SUM(F767)</f>
        <v>13</v>
      </c>
      <c r="G765" s="5724"/>
      <c r="H765" s="6003">
        <f>F765*G765</f>
        <v>0</v>
      </c>
      <c r="I765" s="5719" t="s">
        <v>60</v>
      </c>
      <c r="J765" s="5759"/>
    </row>
    <row r="766" spans="1:10" s="660" customFormat="1" ht="27" customHeight="1">
      <c r="A766" s="5758"/>
      <c r="B766" s="5714"/>
      <c r="C766" s="5714"/>
      <c r="D766" s="5714" t="s">
        <v>12174</v>
      </c>
      <c r="E766" s="5714"/>
      <c r="F766" s="5731"/>
      <c r="G766" s="5724"/>
      <c r="H766" s="6003"/>
      <c r="I766" s="5760"/>
      <c r="J766" s="5699"/>
    </row>
    <row r="767" spans="1:10" s="660" customFormat="1" ht="13.5" customHeight="1">
      <c r="A767" s="5758"/>
      <c r="B767" s="5714"/>
      <c r="C767" s="5714"/>
      <c r="D767" s="5714" t="s">
        <v>6804</v>
      </c>
      <c r="E767" s="5714"/>
      <c r="F767" s="5731">
        <v>13</v>
      </c>
      <c r="G767" s="5724"/>
      <c r="H767" s="6003"/>
      <c r="I767" s="5761"/>
      <c r="J767" s="5699"/>
    </row>
    <row r="768" spans="1:10" s="660" customFormat="1" ht="13.5" customHeight="1">
      <c r="A768" s="5758"/>
      <c r="B768" s="5714"/>
      <c r="C768" s="5714"/>
      <c r="D768" s="5714" t="s">
        <v>11787</v>
      </c>
      <c r="E768" s="5714"/>
      <c r="F768" s="5731"/>
      <c r="G768" s="5724"/>
      <c r="H768" s="6003"/>
      <c r="I768" s="5761"/>
      <c r="J768" s="5699"/>
    </row>
    <row r="769" spans="1:62" s="333" customFormat="1" ht="27" customHeight="1">
      <c r="A769" s="5712">
        <v>180</v>
      </c>
      <c r="B769" s="5713" t="s">
        <v>4103</v>
      </c>
      <c r="C769" s="5714" t="s">
        <v>12184</v>
      </c>
      <c r="D769" s="5715" t="s">
        <v>12185</v>
      </c>
      <c r="E769" s="5716" t="s">
        <v>155</v>
      </c>
      <c r="F769" s="5717">
        <f>SUM(F771:F771)</f>
        <v>1</v>
      </c>
      <c r="G769" s="5718"/>
      <c r="H769" s="6002">
        <f>F769*G769</f>
        <v>0</v>
      </c>
      <c r="I769" s="5719" t="s">
        <v>60</v>
      </c>
      <c r="J769" s="5730"/>
      <c r="K769" s="1325"/>
    </row>
    <row r="770" spans="1:62" ht="54" customHeight="1">
      <c r="A770" s="5721"/>
      <c r="B770" s="5714"/>
      <c r="C770" s="5714"/>
      <c r="D770" s="5722" t="s">
        <v>12186</v>
      </c>
      <c r="E770" s="5714"/>
      <c r="F770" s="5731"/>
      <c r="G770" s="5724"/>
      <c r="H770" s="6003"/>
      <c r="I770" s="5732"/>
      <c r="J770" s="5733"/>
      <c r="K770" s="1486"/>
      <c r="L770" s="5669"/>
      <c r="M770" s="5669"/>
      <c r="N770" s="5669"/>
      <c r="O770" s="5669"/>
      <c r="P770" s="5669"/>
      <c r="Q770" s="5669"/>
      <c r="R770" s="5669"/>
      <c r="S770" s="5669"/>
      <c r="T770" s="5669"/>
      <c r="U770" s="5669"/>
      <c r="V770" s="5669"/>
    </row>
    <row r="771" spans="1:62" s="660" customFormat="1" ht="13.5" customHeight="1">
      <c r="A771" s="5726"/>
      <c r="B771" s="5713"/>
      <c r="C771" s="5714"/>
      <c r="D771" s="5714" t="s">
        <v>11830</v>
      </c>
      <c r="E771" s="5714"/>
      <c r="F771" s="5619">
        <v>1</v>
      </c>
      <c r="G771" s="5724"/>
      <c r="H771" s="6003"/>
      <c r="I771" s="5732"/>
      <c r="J771" s="5734"/>
      <c r="K771" s="1486"/>
      <c r="L771" s="5669"/>
      <c r="M771" s="5669"/>
      <c r="N771" s="5669"/>
      <c r="O771" s="5669"/>
      <c r="P771" s="5669"/>
      <c r="Q771" s="5669"/>
      <c r="R771" s="5669"/>
      <c r="S771" s="5669"/>
      <c r="T771" s="5669"/>
      <c r="U771" s="5669"/>
      <c r="V771" s="5669"/>
      <c r="W771" s="81"/>
    </row>
    <row r="772" spans="1:62" s="660" customFormat="1" ht="13.5" customHeight="1">
      <c r="A772" s="5726"/>
      <c r="B772" s="5713"/>
      <c r="C772" s="5714"/>
      <c r="D772" s="5714" t="s">
        <v>11787</v>
      </c>
      <c r="E772" s="5714"/>
      <c r="F772" s="5619"/>
      <c r="G772" s="5724"/>
      <c r="H772" s="6003"/>
      <c r="I772" s="5729"/>
      <c r="J772" s="5735"/>
      <c r="K772" s="1618"/>
      <c r="L772" s="808"/>
      <c r="M772" s="808"/>
      <c r="N772" s="808"/>
      <c r="O772" s="808"/>
      <c r="P772" s="808"/>
      <c r="Q772" s="808"/>
      <c r="R772" s="772"/>
      <c r="S772" s="718"/>
    </row>
    <row r="773" spans="1:62" s="660" customFormat="1" ht="13.5" customHeight="1">
      <c r="A773" s="5726"/>
      <c r="B773" s="5713"/>
      <c r="C773" s="5714"/>
      <c r="D773" s="5714" t="s">
        <v>11820</v>
      </c>
      <c r="E773" s="5714"/>
      <c r="F773" s="5619"/>
      <c r="G773" s="5724"/>
      <c r="H773" s="6003"/>
      <c r="I773" s="5729"/>
      <c r="J773" s="5735"/>
      <c r="K773" s="5670"/>
      <c r="L773" s="5671"/>
      <c r="M773" s="5671"/>
      <c r="N773" s="5671"/>
      <c r="O773" s="808"/>
      <c r="P773" s="808"/>
      <c r="Q773" s="808"/>
      <c r="R773" s="772"/>
      <c r="S773" s="718"/>
    </row>
    <row r="774" spans="1:62" s="333" customFormat="1" ht="13.5" customHeight="1">
      <c r="A774" s="5712">
        <v>181</v>
      </c>
      <c r="B774" s="5713">
        <v>766</v>
      </c>
      <c r="C774" s="5714" t="s">
        <v>12187</v>
      </c>
      <c r="D774" s="5714" t="s">
        <v>12188</v>
      </c>
      <c r="E774" s="5762" t="s">
        <v>23</v>
      </c>
      <c r="F774" s="5763">
        <f>SUM(F775)</f>
        <v>1</v>
      </c>
      <c r="G774" s="5718"/>
      <c r="H774" s="6002">
        <f>F774*G774</f>
        <v>0</v>
      </c>
      <c r="I774" s="5719" t="s">
        <v>60</v>
      </c>
      <c r="J774" s="5764"/>
      <c r="L774" s="5682"/>
      <c r="M774" s="5683"/>
    </row>
    <row r="775" spans="1:62" s="660" customFormat="1" ht="27" customHeight="1">
      <c r="A775" s="5726"/>
      <c r="B775" s="5713"/>
      <c r="C775" s="5714"/>
      <c r="D775" s="5714" t="s">
        <v>12189</v>
      </c>
      <c r="E775" s="5714"/>
      <c r="F775" s="5619">
        <v>1</v>
      </c>
      <c r="G775" s="5724"/>
      <c r="H775" s="6003"/>
      <c r="I775" s="5729"/>
      <c r="J775" s="5736"/>
      <c r="K775" s="1618"/>
      <c r="L775" s="5684"/>
      <c r="M775" s="808"/>
      <c r="N775" s="808"/>
      <c r="O775" s="808"/>
      <c r="P775" s="808"/>
      <c r="Q775" s="808"/>
      <c r="R775" s="772"/>
      <c r="S775" s="718"/>
    </row>
    <row r="776" spans="1:62" s="333" customFormat="1" ht="13.5" customHeight="1">
      <c r="A776" s="5712">
        <v>182</v>
      </c>
      <c r="B776" s="5713" t="s">
        <v>4103</v>
      </c>
      <c r="C776" s="5714">
        <v>998766202</v>
      </c>
      <c r="D776" s="5714" t="s">
        <v>12190</v>
      </c>
      <c r="E776" s="5762" t="s">
        <v>8</v>
      </c>
      <c r="F776" s="5763">
        <v>1.08</v>
      </c>
      <c r="G776" s="5718"/>
      <c r="H776" s="6002">
        <f>F776*G776</f>
        <v>0</v>
      </c>
      <c r="I776" s="5719" t="s">
        <v>142</v>
      </c>
      <c r="J776" s="5765"/>
      <c r="L776" s="5682"/>
      <c r="M776" s="5683"/>
    </row>
    <row r="777" spans="1:62" s="333" customFormat="1" ht="13.5" customHeight="1">
      <c r="A777" s="5712">
        <v>183</v>
      </c>
      <c r="B777" s="5713" t="s">
        <v>188</v>
      </c>
      <c r="C777" s="5714" t="s">
        <v>12191</v>
      </c>
      <c r="D777" s="5714" t="s">
        <v>12192</v>
      </c>
      <c r="E777" s="5762" t="s">
        <v>191</v>
      </c>
      <c r="F777" s="5763">
        <f>F778</f>
        <v>20</v>
      </c>
      <c r="G777" s="5718"/>
      <c r="H777" s="6002">
        <f>F777*G777</f>
        <v>0</v>
      </c>
      <c r="I777" s="5719" t="s">
        <v>142</v>
      </c>
      <c r="J777" s="5766"/>
      <c r="L777" s="5682"/>
      <c r="M777" s="5683"/>
    </row>
    <row r="778" spans="1:62" s="660" customFormat="1" ht="13.5" customHeight="1">
      <c r="A778" s="5726"/>
      <c r="B778" s="5713"/>
      <c r="C778" s="5714"/>
      <c r="D778" s="5714" t="s">
        <v>12193</v>
      </c>
      <c r="E778" s="5714"/>
      <c r="F778" s="5619">
        <v>20</v>
      </c>
      <c r="G778" s="5724"/>
      <c r="H778" s="6003"/>
      <c r="I778" s="5729"/>
      <c r="J778" s="5736"/>
      <c r="K778" s="1618"/>
      <c r="L778" s="808"/>
      <c r="M778" s="808"/>
      <c r="N778" s="808"/>
      <c r="O778" s="808"/>
      <c r="P778" s="808"/>
      <c r="Q778" s="808"/>
      <c r="R778" s="772"/>
      <c r="S778" s="718"/>
    </row>
    <row r="779" spans="1:62" s="660" customFormat="1" ht="13.5" customHeight="1">
      <c r="A779" s="5726"/>
      <c r="B779" s="5713"/>
      <c r="C779" s="5714"/>
      <c r="D779" s="5714" t="s">
        <v>2821</v>
      </c>
      <c r="E779" s="5714"/>
      <c r="F779" s="5619"/>
      <c r="G779" s="5724"/>
      <c r="H779" s="6003"/>
      <c r="I779" s="5729"/>
      <c r="J779" s="5736"/>
      <c r="K779" s="1618"/>
      <c r="L779" s="808"/>
      <c r="M779" s="355"/>
      <c r="N779" s="355"/>
      <c r="O779" s="355"/>
      <c r="P779" s="355"/>
      <c r="Q779" s="808"/>
      <c r="R779" s="772"/>
      <c r="S779" s="718"/>
    </row>
    <row r="780" spans="1:62" s="660" customFormat="1" ht="21" customHeight="1">
      <c r="A780" s="5767"/>
      <c r="B780" s="5768"/>
      <c r="C780" s="5768"/>
      <c r="D780" s="5768" t="s">
        <v>0</v>
      </c>
      <c r="E780" s="5768"/>
      <c r="F780" s="5769"/>
      <c r="G780" s="5770"/>
      <c r="H780" s="5770">
        <f>H7</f>
        <v>0</v>
      </c>
      <c r="I780" s="5699"/>
      <c r="J780" s="577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row>
    <row r="781" spans="1:62">
      <c r="A781" s="5772"/>
      <c r="B781" s="5773"/>
      <c r="C781" s="5773"/>
      <c r="D781" s="5773"/>
      <c r="E781" s="5773"/>
      <c r="F781" s="5774"/>
      <c r="G781" s="5775"/>
      <c r="H781" s="5775"/>
      <c r="I781" s="5699"/>
      <c r="J781" s="5699"/>
      <c r="L781" s="660"/>
      <c r="M781" s="660"/>
      <c r="N781" s="660"/>
      <c r="O781" s="660"/>
      <c r="P781" s="660"/>
      <c r="Q781" s="660"/>
      <c r="R781" s="660"/>
      <c r="S781" s="660"/>
      <c r="T781" s="660"/>
      <c r="U781" s="660"/>
      <c r="V781" s="660"/>
      <c r="W781" s="660"/>
      <c r="X781" s="660"/>
      <c r="Y781" s="660"/>
      <c r="Z781" s="660"/>
      <c r="AA781" s="660"/>
      <c r="AB781" s="660"/>
      <c r="AC781" s="660"/>
      <c r="AD781" s="660"/>
      <c r="AE781" s="660"/>
      <c r="AF781" s="660"/>
      <c r="AG781" s="660"/>
      <c r="AH781" s="660"/>
      <c r="AI781" s="660"/>
      <c r="AJ781" s="660"/>
      <c r="AK781" s="660"/>
      <c r="AL781" s="660"/>
      <c r="AM781" s="660"/>
      <c r="AN781" s="660"/>
      <c r="AO781" s="660"/>
      <c r="AP781" s="660"/>
      <c r="AQ781" s="660"/>
      <c r="AR781" s="660"/>
      <c r="AS781" s="660"/>
      <c r="AT781" s="660"/>
      <c r="AU781" s="660"/>
      <c r="AV781" s="660"/>
      <c r="AW781" s="660"/>
      <c r="AX781" s="660"/>
      <c r="AY781" s="660"/>
      <c r="AZ781" s="660"/>
      <c r="BA781" s="660"/>
      <c r="BB781" s="660"/>
      <c r="BC781" s="660"/>
      <c r="BD781" s="660"/>
      <c r="BE781" s="660"/>
      <c r="BF781" s="660"/>
      <c r="BG781" s="660"/>
      <c r="BH781" s="660"/>
      <c r="BI781" s="660"/>
      <c r="BJ781" s="660"/>
    </row>
    <row r="782" spans="1:62" ht="13.5" customHeight="1">
      <c r="A782" s="5882" t="s">
        <v>99</v>
      </c>
      <c r="B782" s="5883"/>
      <c r="C782" s="5884"/>
      <c r="D782" s="5776" t="s">
        <v>12194</v>
      </c>
      <c r="E782" s="5777"/>
      <c r="F782" s="5778"/>
      <c r="G782" s="5779"/>
      <c r="H782" s="6006">
        <f>H780</f>
        <v>0</v>
      </c>
      <c r="I782" s="5699"/>
      <c r="J782" s="5703"/>
    </row>
    <row r="783" spans="1:62">
      <c r="A783" s="5772"/>
      <c r="B783" s="5773"/>
      <c r="C783" s="5773"/>
      <c r="D783" s="5773"/>
      <c r="E783" s="5773"/>
      <c r="F783" s="5774"/>
      <c r="G783" s="5775"/>
      <c r="H783" s="5775"/>
      <c r="I783" s="5699"/>
      <c r="J783" s="5780"/>
      <c r="L783" s="5689"/>
      <c r="M783" s="1183"/>
      <c r="N783" s="5690"/>
      <c r="O783" s="5691"/>
      <c r="P783" s="5668"/>
      <c r="Q783" s="5668"/>
      <c r="R783" s="660"/>
      <c r="S783" s="5666"/>
      <c r="T783" s="5667"/>
      <c r="U783" s="5689"/>
      <c r="V783" s="1183"/>
      <c r="W783" s="5690"/>
      <c r="X783" s="5691"/>
      <c r="Y783" s="5668"/>
      <c r="Z783" s="5668"/>
      <c r="AA783" s="660"/>
      <c r="AB783" s="5666"/>
      <c r="AC783" s="5667"/>
      <c r="AD783" s="5689"/>
      <c r="AE783" s="1183"/>
      <c r="AF783" s="5690"/>
      <c r="AG783" s="5691"/>
      <c r="AH783" s="5668"/>
      <c r="AI783" s="5668"/>
      <c r="AJ783" s="660"/>
      <c r="AK783" s="5666"/>
      <c r="AL783" s="5667"/>
      <c r="AM783" s="5689"/>
      <c r="AN783" s="1183"/>
      <c r="AO783" s="5690"/>
      <c r="AP783" s="5691"/>
      <c r="AQ783" s="5668"/>
      <c r="AR783" s="5668"/>
      <c r="AS783" s="660"/>
      <c r="AT783" s="5666"/>
      <c r="AU783" s="5667"/>
      <c r="AV783" s="5689"/>
      <c r="AW783" s="1183"/>
      <c r="AX783" s="5690"/>
      <c r="AY783" s="5691"/>
      <c r="AZ783" s="5668"/>
      <c r="BA783" s="5668"/>
      <c r="BB783" s="660"/>
      <c r="BC783" s="5666"/>
      <c r="BD783" s="5667"/>
      <c r="BE783" s="5689"/>
      <c r="BF783" s="1183"/>
      <c r="BG783" s="5690"/>
      <c r="BH783" s="5691"/>
      <c r="BI783" s="5668"/>
      <c r="BJ783" s="5668"/>
    </row>
    <row r="784" spans="1:62">
      <c r="A784" s="5781" t="s">
        <v>1</v>
      </c>
      <c r="B784" s="5782"/>
      <c r="C784" s="5781"/>
      <c r="D784" s="5781"/>
      <c r="E784" s="5781"/>
      <c r="F784" s="5781"/>
      <c r="G784" s="5781"/>
      <c r="H784" s="5781"/>
      <c r="I784" s="5783"/>
      <c r="J784" s="5784"/>
      <c r="L784" s="5689"/>
      <c r="M784" s="1183"/>
      <c r="N784" s="5690"/>
      <c r="O784" s="5691"/>
      <c r="P784" s="5668"/>
      <c r="Q784" s="5668"/>
      <c r="R784" s="660"/>
      <c r="S784" s="5666"/>
      <c r="T784" s="5667"/>
      <c r="U784" s="5689"/>
      <c r="V784" s="1183"/>
      <c r="W784" s="5690"/>
      <c r="X784" s="5691"/>
      <c r="Y784" s="5668"/>
      <c r="Z784" s="5668"/>
      <c r="AA784" s="660"/>
      <c r="AB784" s="5666"/>
      <c r="AC784" s="5667"/>
      <c r="AD784" s="5689"/>
      <c r="AE784" s="1183"/>
      <c r="AF784" s="5690"/>
      <c r="AG784" s="5691"/>
      <c r="AH784" s="5668"/>
      <c r="AI784" s="5668"/>
      <c r="AJ784" s="660"/>
      <c r="AK784" s="5666"/>
      <c r="AL784" s="5667"/>
      <c r="AM784" s="5689"/>
      <c r="AN784" s="1183"/>
      <c r="AO784" s="5690"/>
      <c r="AP784" s="5691"/>
      <c r="AQ784" s="5668"/>
      <c r="AR784" s="5668"/>
      <c r="AS784" s="660"/>
      <c r="AT784" s="5666"/>
      <c r="AU784" s="5667"/>
      <c r="AV784" s="5689"/>
      <c r="AW784" s="1183"/>
      <c r="AX784" s="5690"/>
      <c r="AY784" s="5691"/>
      <c r="AZ784" s="5668"/>
      <c r="BA784" s="5668"/>
      <c r="BB784" s="660"/>
      <c r="BC784" s="5666"/>
      <c r="BD784" s="5667"/>
      <c r="BE784" s="5689"/>
      <c r="BF784" s="1183"/>
      <c r="BG784" s="5690"/>
      <c r="BH784" s="5691"/>
      <c r="BI784" s="5668"/>
      <c r="BJ784" s="5668"/>
    </row>
    <row r="785" spans="1:62" ht="27" customHeight="1">
      <c r="A785" s="5889" t="s">
        <v>8170</v>
      </c>
      <c r="B785" s="5890"/>
      <c r="C785" s="5890"/>
      <c r="D785" s="5890"/>
      <c r="E785" s="5890"/>
      <c r="F785" s="5890"/>
      <c r="G785" s="5890"/>
      <c r="H785" s="5781"/>
      <c r="I785" s="5785"/>
      <c r="J785" s="5786"/>
      <c r="L785" s="5689"/>
      <c r="M785" s="1183"/>
      <c r="N785" s="5690"/>
      <c r="O785" s="5691"/>
      <c r="P785" s="5668"/>
      <c r="Q785" s="5668"/>
      <c r="R785" s="660"/>
      <c r="S785" s="5666"/>
      <c r="T785" s="5667"/>
      <c r="U785" s="5689"/>
      <c r="V785" s="1183"/>
      <c r="W785" s="5690"/>
      <c r="X785" s="5691"/>
      <c r="Y785" s="5668"/>
      <c r="Z785" s="5668"/>
      <c r="AA785" s="660"/>
      <c r="AB785" s="5666"/>
      <c r="AC785" s="5667"/>
      <c r="AD785" s="5689"/>
      <c r="AE785" s="1183"/>
      <c r="AF785" s="5690"/>
      <c r="AG785" s="5691"/>
      <c r="AH785" s="5668"/>
      <c r="AI785" s="5668"/>
      <c r="AJ785" s="660"/>
      <c r="AK785" s="5666"/>
      <c r="AL785" s="5667"/>
      <c r="AM785" s="5689"/>
      <c r="AN785" s="1183"/>
      <c r="AO785" s="5690"/>
      <c r="AP785" s="5691"/>
      <c r="AQ785" s="5668"/>
      <c r="AR785" s="5668"/>
      <c r="AS785" s="660"/>
      <c r="AT785" s="5666"/>
      <c r="AU785" s="5667"/>
      <c r="AV785" s="5689"/>
      <c r="AW785" s="1183"/>
      <c r="AX785" s="5690"/>
      <c r="AY785" s="5691"/>
      <c r="AZ785" s="5668"/>
      <c r="BA785" s="5668"/>
      <c r="BB785" s="660"/>
      <c r="BC785" s="5666"/>
      <c r="BD785" s="5667"/>
      <c r="BE785" s="5689"/>
      <c r="BF785" s="1183"/>
      <c r="BG785" s="5690"/>
      <c r="BH785" s="5691"/>
      <c r="BI785" s="5668"/>
      <c r="BJ785" s="5668"/>
    </row>
    <row r="786" spans="1:62" ht="90" customHeight="1">
      <c r="A786" s="5889" t="s">
        <v>12195</v>
      </c>
      <c r="B786" s="5891"/>
      <c r="C786" s="5891"/>
      <c r="D786" s="5891"/>
      <c r="E786" s="5891"/>
      <c r="F786" s="5891"/>
      <c r="G786" s="5891"/>
      <c r="H786" s="5781"/>
      <c r="I786" s="5781"/>
      <c r="J786" s="5703"/>
      <c r="L786" s="5689"/>
      <c r="M786" s="1183"/>
      <c r="N786" s="5690"/>
      <c r="O786" s="5691"/>
      <c r="P786" s="5668"/>
      <c r="Q786" s="5668"/>
      <c r="R786" s="660"/>
      <c r="S786" s="5666"/>
      <c r="T786" s="5667"/>
      <c r="U786" s="5689"/>
      <c r="V786" s="1183"/>
      <c r="W786" s="5690"/>
      <c r="X786" s="5691"/>
      <c r="Y786" s="5668"/>
      <c r="Z786" s="5668"/>
      <c r="AA786" s="660"/>
      <c r="AB786" s="5666"/>
      <c r="AC786" s="5667"/>
      <c r="AD786" s="5689"/>
      <c r="AE786" s="1183"/>
      <c r="AF786" s="5690"/>
      <c r="AG786" s="5691"/>
      <c r="AH786" s="5668"/>
      <c r="AI786" s="5668"/>
      <c r="AJ786" s="660"/>
      <c r="AK786" s="5666"/>
      <c r="AL786" s="5667"/>
      <c r="AM786" s="5689"/>
      <c r="AN786" s="1183"/>
      <c r="AO786" s="5690"/>
      <c r="AP786" s="5691"/>
      <c r="AQ786" s="5668"/>
      <c r="AR786" s="5668"/>
      <c r="AS786" s="660"/>
      <c r="AT786" s="5666"/>
      <c r="AU786" s="5667"/>
      <c r="AV786" s="5689"/>
      <c r="AW786" s="1183"/>
      <c r="AX786" s="5690"/>
      <c r="AY786" s="5691"/>
      <c r="AZ786" s="5668"/>
      <c r="BA786" s="5668"/>
      <c r="BB786" s="660"/>
      <c r="BC786" s="5666"/>
      <c r="BD786" s="5667"/>
      <c r="BE786" s="5689"/>
      <c r="BF786" s="1183"/>
      <c r="BG786" s="5690"/>
      <c r="BH786" s="5691"/>
      <c r="BI786" s="5668"/>
      <c r="BJ786" s="5668"/>
    </row>
    <row r="787" spans="1:62">
      <c r="A787" s="5889" t="s">
        <v>27</v>
      </c>
      <c r="B787" s="5892"/>
      <c r="C787" s="5892"/>
      <c r="D787" s="5892"/>
      <c r="E787" s="5892"/>
      <c r="F787" s="5892"/>
      <c r="G787" s="5892"/>
      <c r="H787" s="5787"/>
      <c r="I787" s="5787"/>
      <c r="J787" s="5703"/>
      <c r="L787" s="5689"/>
      <c r="M787" s="1183"/>
      <c r="N787" s="5690"/>
      <c r="O787" s="5691"/>
      <c r="P787" s="5668"/>
      <c r="Q787" s="5668"/>
      <c r="R787" s="660"/>
      <c r="S787" s="5666"/>
      <c r="T787" s="5667"/>
      <c r="U787" s="5689"/>
      <c r="V787" s="1183"/>
      <c r="W787" s="5690"/>
      <c r="X787" s="5691"/>
      <c r="Y787" s="5668"/>
      <c r="Z787" s="5668"/>
      <c r="AA787" s="660"/>
      <c r="AB787" s="5666"/>
      <c r="AC787" s="5667"/>
      <c r="AD787" s="5689"/>
      <c r="AE787" s="1183"/>
      <c r="AF787" s="5690"/>
      <c r="AG787" s="5691"/>
      <c r="AH787" s="5668"/>
      <c r="AI787" s="5668"/>
      <c r="AJ787" s="660"/>
      <c r="AK787" s="5666"/>
      <c r="AL787" s="5667"/>
      <c r="AM787" s="5689"/>
      <c r="AN787" s="1183"/>
      <c r="AO787" s="5690"/>
      <c r="AP787" s="5691"/>
      <c r="AQ787" s="5668"/>
      <c r="AR787" s="5668"/>
      <c r="AS787" s="660"/>
      <c r="AT787" s="5666"/>
      <c r="AU787" s="5667"/>
      <c r="AV787" s="5689"/>
      <c r="AW787" s="1183"/>
      <c r="AX787" s="5690"/>
      <c r="AY787" s="5691"/>
      <c r="AZ787" s="5668"/>
      <c r="BA787" s="5668"/>
      <c r="BB787" s="660"/>
      <c r="BC787" s="5666"/>
      <c r="BD787" s="5667"/>
      <c r="BE787" s="5689"/>
      <c r="BF787" s="1183"/>
      <c r="BG787" s="5690"/>
      <c r="BH787" s="5691"/>
      <c r="BI787" s="5668"/>
      <c r="BJ787" s="5668"/>
    </row>
    <row r="788" spans="1:62">
      <c r="A788" s="5889" t="s">
        <v>28</v>
      </c>
      <c r="B788" s="5892"/>
      <c r="C788" s="5892"/>
      <c r="D788" s="5892"/>
      <c r="E788" s="5892"/>
      <c r="F788" s="5892"/>
      <c r="G788" s="5892"/>
      <c r="H788" s="5787"/>
      <c r="I788" s="5787"/>
      <c r="J788" s="5699"/>
      <c r="L788" s="5689"/>
      <c r="M788" s="1183"/>
      <c r="N788" s="5690"/>
      <c r="O788" s="5691"/>
      <c r="P788" s="5668"/>
      <c r="Q788" s="5668"/>
      <c r="R788" s="660"/>
      <c r="S788" s="5666"/>
      <c r="T788" s="5667"/>
      <c r="U788" s="5689"/>
      <c r="V788" s="1183"/>
      <c r="W788" s="5690"/>
      <c r="X788" s="5691"/>
      <c r="Y788" s="5668"/>
      <c r="Z788" s="5668"/>
      <c r="AA788" s="660"/>
      <c r="AB788" s="5666"/>
      <c r="AC788" s="5667"/>
      <c r="AD788" s="5689"/>
      <c r="AE788" s="1183"/>
      <c r="AF788" s="5690"/>
      <c r="AG788" s="5691"/>
      <c r="AH788" s="5668"/>
      <c r="AI788" s="5668"/>
      <c r="AJ788" s="660"/>
      <c r="AK788" s="5666"/>
      <c r="AL788" s="5667"/>
      <c r="AM788" s="5689"/>
      <c r="AN788" s="1183"/>
      <c r="AO788" s="5690"/>
      <c r="AP788" s="5691"/>
      <c r="AQ788" s="5668"/>
      <c r="AR788" s="5668"/>
      <c r="AS788" s="660"/>
      <c r="AT788" s="5666"/>
      <c r="AU788" s="5667"/>
      <c r="AV788" s="5689"/>
      <c r="AW788" s="1183"/>
      <c r="AX788" s="5690"/>
      <c r="AY788" s="5691"/>
      <c r="AZ788" s="5668"/>
      <c r="BA788" s="5668"/>
      <c r="BB788" s="660"/>
      <c r="BC788" s="5666"/>
      <c r="BD788" s="5667"/>
      <c r="BE788" s="5689"/>
      <c r="BF788" s="1183"/>
      <c r="BG788" s="5690"/>
      <c r="BH788" s="5691"/>
      <c r="BI788" s="5668"/>
      <c r="BJ788" s="5668"/>
    </row>
    <row r="789" spans="1:62" ht="40.5" customHeight="1">
      <c r="A789" s="5893" t="s">
        <v>61</v>
      </c>
      <c r="B789" s="5893"/>
      <c r="C789" s="5893"/>
      <c r="D789" s="5893"/>
      <c r="E789" s="5893"/>
      <c r="F789" s="5893"/>
      <c r="G789" s="5893"/>
      <c r="H789" s="5771"/>
      <c r="I789" s="5788"/>
      <c r="J789" s="5771"/>
    </row>
    <row r="790" spans="1:62">
      <c r="J790" s="5666"/>
      <c r="L790" s="5689"/>
      <c r="M790" s="1183"/>
      <c r="N790" s="5690"/>
      <c r="O790" s="5691"/>
      <c r="P790" s="5668"/>
      <c r="Q790" s="5668"/>
      <c r="R790" s="660"/>
      <c r="S790" s="5666"/>
      <c r="T790" s="5667"/>
      <c r="U790" s="5689"/>
      <c r="V790" s="1183"/>
      <c r="W790" s="5690"/>
      <c r="X790" s="5691"/>
      <c r="Y790" s="5668"/>
      <c r="Z790" s="5668"/>
      <c r="AA790" s="660"/>
      <c r="AB790" s="5666"/>
      <c r="AC790" s="5667"/>
      <c r="AD790" s="5689"/>
      <c r="AE790" s="1183"/>
      <c r="AF790" s="5690"/>
      <c r="AG790" s="5691"/>
      <c r="AH790" s="5668"/>
      <c r="AI790" s="5668"/>
      <c r="AJ790" s="660"/>
      <c r="AK790" s="5666"/>
      <c r="AL790" s="5667"/>
      <c r="AM790" s="5689"/>
      <c r="AN790" s="1183"/>
      <c r="AO790" s="5690"/>
      <c r="AP790" s="5691"/>
      <c r="AQ790" s="5668"/>
      <c r="AR790" s="5668"/>
      <c r="AS790" s="660"/>
      <c r="AT790" s="5666"/>
      <c r="AU790" s="5667"/>
      <c r="AV790" s="5689"/>
      <c r="AW790" s="1183"/>
      <c r="AX790" s="5690"/>
      <c r="AY790" s="5691"/>
      <c r="AZ790" s="5668"/>
      <c r="BA790" s="5668"/>
      <c r="BB790" s="660"/>
      <c r="BC790" s="5666"/>
      <c r="BD790" s="5667"/>
      <c r="BE790" s="5689"/>
      <c r="BF790" s="1183"/>
      <c r="BG790" s="5690"/>
      <c r="BH790" s="5691"/>
      <c r="BI790" s="5668"/>
      <c r="BJ790" s="5668"/>
    </row>
    <row r="791" spans="1:62">
      <c r="J791" s="5666"/>
      <c r="L791" s="5689"/>
      <c r="M791" s="1183"/>
      <c r="N791" s="5690"/>
      <c r="O791" s="5691"/>
      <c r="P791" s="5668"/>
      <c r="Q791" s="5668"/>
      <c r="R791" s="660"/>
      <c r="S791" s="5666"/>
      <c r="T791" s="5667"/>
      <c r="U791" s="5689"/>
      <c r="V791" s="1183"/>
      <c r="W791" s="5690"/>
      <c r="X791" s="5691"/>
      <c r="Y791" s="5668"/>
      <c r="Z791" s="5668"/>
      <c r="AA791" s="660"/>
      <c r="AB791" s="5666"/>
      <c r="AC791" s="5667"/>
      <c r="AD791" s="5689"/>
      <c r="AE791" s="1183"/>
      <c r="AF791" s="5690"/>
      <c r="AG791" s="5691"/>
      <c r="AH791" s="5668"/>
      <c r="AI791" s="5668"/>
      <c r="AJ791" s="660"/>
      <c r="AK791" s="5666"/>
      <c r="AL791" s="5667"/>
      <c r="AM791" s="5689"/>
      <c r="AN791" s="1183"/>
      <c r="AO791" s="5690"/>
      <c r="AP791" s="5691"/>
      <c r="AQ791" s="5668"/>
      <c r="AR791" s="5668"/>
      <c r="AS791" s="660"/>
      <c r="AT791" s="5666"/>
      <c r="AU791" s="5667"/>
      <c r="AV791" s="5689"/>
      <c r="AW791" s="1183"/>
      <c r="AX791" s="5690"/>
      <c r="AY791" s="5691"/>
      <c r="AZ791" s="5668"/>
      <c r="BA791" s="5668"/>
      <c r="BB791" s="660"/>
      <c r="BC791" s="5666"/>
      <c r="BD791" s="5667"/>
      <c r="BE791" s="5689"/>
      <c r="BF791" s="1183"/>
      <c r="BG791" s="5690"/>
      <c r="BH791" s="5691"/>
      <c r="BI791" s="5668"/>
      <c r="BJ791" s="5668"/>
    </row>
    <row r="792" spans="1:62">
      <c r="J792" s="660"/>
      <c r="L792" s="660"/>
      <c r="M792" s="660"/>
      <c r="N792" s="660"/>
      <c r="O792" s="660"/>
      <c r="P792" s="660"/>
      <c r="Q792" s="660"/>
      <c r="R792" s="660"/>
      <c r="S792" s="660"/>
      <c r="T792" s="660"/>
      <c r="U792" s="660"/>
      <c r="V792" s="660"/>
      <c r="W792" s="660"/>
      <c r="X792" s="660"/>
      <c r="Y792" s="660"/>
      <c r="Z792" s="660"/>
      <c r="AA792" s="660"/>
      <c r="AB792" s="660"/>
      <c r="AC792" s="660"/>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660"/>
      <c r="AY792" s="660"/>
      <c r="AZ792" s="660"/>
      <c r="BA792" s="660"/>
      <c r="BB792" s="660"/>
      <c r="BC792" s="660"/>
      <c r="BD792" s="660"/>
      <c r="BE792" s="660"/>
      <c r="BF792" s="660"/>
      <c r="BG792" s="660"/>
      <c r="BH792" s="660"/>
      <c r="BI792" s="660"/>
      <c r="BJ792" s="660"/>
    </row>
  </sheetData>
  <mergeCells count="11">
    <mergeCell ref="A785:G785"/>
    <mergeCell ref="A786:G786"/>
    <mergeCell ref="A787:G787"/>
    <mergeCell ref="A788:G788"/>
    <mergeCell ref="A789:G789"/>
    <mergeCell ref="A782:C782"/>
    <mergeCell ref="A2:J2"/>
    <mergeCell ref="K127:L127"/>
    <mergeCell ref="K128:L128"/>
    <mergeCell ref="K152:L152"/>
    <mergeCell ref="K153:L15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election activeCell="H5" sqref="H5"/>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894" t="s">
        <v>112</v>
      </c>
      <c r="B2" s="5895"/>
      <c r="C2" s="5895"/>
      <c r="D2" s="5895"/>
      <c r="E2" s="5895"/>
      <c r="F2" s="5895"/>
      <c r="G2" s="5895"/>
      <c r="H2" s="5895"/>
      <c r="I2" s="5895"/>
      <c r="J2" s="5895"/>
    </row>
    <row r="3" spans="1:256" ht="13.5" customHeight="1">
      <c r="A3" s="2245" t="s">
        <v>6117</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10491</v>
      </c>
      <c r="I5" s="3786" t="s">
        <v>10492</v>
      </c>
      <c r="J5" s="3855" t="s">
        <v>22</v>
      </c>
      <c r="K5" s="4796"/>
      <c r="L5" s="3856"/>
      <c r="M5" s="4797"/>
      <c r="N5" s="4797"/>
      <c r="O5" s="4797"/>
      <c r="P5" s="4797"/>
    </row>
    <row r="6" spans="1:256">
      <c r="A6" s="111" t="s">
        <v>133</v>
      </c>
      <c r="B6" s="111" t="s">
        <v>134</v>
      </c>
      <c r="C6" s="111">
        <v>3</v>
      </c>
      <c r="D6" s="111">
        <v>4</v>
      </c>
      <c r="E6" s="111">
        <v>5</v>
      </c>
      <c r="F6" s="111">
        <v>6</v>
      </c>
      <c r="G6" s="111">
        <v>7</v>
      </c>
      <c r="H6" s="3785" t="s">
        <v>10489</v>
      </c>
      <c r="I6" s="3786" t="s">
        <v>10490</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6118</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6119</v>
      </c>
      <c r="E16" s="151"/>
      <c r="F16" s="136"/>
      <c r="G16" s="362"/>
      <c r="H16" s="3790"/>
      <c r="I16" s="3822"/>
      <c r="J16" s="153"/>
    </row>
    <row r="17" spans="1:122" s="120" customFormat="1" ht="27" customHeight="1">
      <c r="A17" s="115"/>
      <c r="B17" s="121"/>
      <c r="C17" s="163"/>
      <c r="D17" s="163" t="s">
        <v>6120</v>
      </c>
      <c r="E17" s="163"/>
      <c r="F17" s="164">
        <f>(((32)*0.8)*1)*0.3</f>
        <v>7.68</v>
      </c>
      <c r="G17" s="513"/>
      <c r="H17" s="3791"/>
      <c r="I17" s="3823"/>
      <c r="J17" s="122"/>
      <c r="K17" s="512"/>
      <c r="L17" s="514"/>
    </row>
    <row r="18" spans="1:122" s="120" customFormat="1" ht="27" customHeight="1">
      <c r="A18" s="115"/>
      <c r="B18" s="121"/>
      <c r="C18" s="163"/>
      <c r="D18" s="163" t="s">
        <v>6121</v>
      </c>
      <c r="E18" s="163"/>
      <c r="F18" s="164">
        <f>(((81.4)*0.8)*1)*0.3</f>
        <v>19.536000000000001</v>
      </c>
      <c r="G18" s="513"/>
      <c r="H18" s="3791"/>
      <c r="I18" s="3823"/>
      <c r="J18" s="122"/>
      <c r="K18" s="512"/>
      <c r="L18" s="514"/>
    </row>
    <row r="19" spans="1:122" s="120" customFormat="1" ht="27" customHeight="1">
      <c r="A19" s="115"/>
      <c r="B19" s="121"/>
      <c r="C19" s="163"/>
      <c r="D19" s="163" t="s">
        <v>6122</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6123</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6124</v>
      </c>
      <c r="E22" s="151"/>
      <c r="F22" s="136"/>
      <c r="G22" s="362"/>
      <c r="H22" s="3790"/>
      <c r="I22" s="3822"/>
      <c r="J22" s="153"/>
    </row>
    <row r="23" spans="1:122" s="120" customFormat="1" ht="27" customHeight="1">
      <c r="A23" s="115"/>
      <c r="B23" s="121"/>
      <c r="C23" s="163"/>
      <c r="D23" s="163" t="s">
        <v>6125</v>
      </c>
      <c r="E23" s="163"/>
      <c r="F23" s="164">
        <f>(((4.7+2.3+4)*1.2)*4)*0.55</f>
        <v>29.04</v>
      </c>
      <c r="G23" s="513"/>
      <c r="H23" s="3791"/>
      <c r="I23" s="3823"/>
      <c r="J23" s="122"/>
    </row>
    <row r="24" spans="1:122" s="120" customFormat="1" ht="27" customHeight="1">
      <c r="A24" s="115"/>
      <c r="B24" s="121"/>
      <c r="C24" s="163"/>
      <c r="D24" s="163" t="s">
        <v>6126</v>
      </c>
      <c r="E24" s="163"/>
      <c r="F24" s="164">
        <f>(((4.1+1+7.6)*1.2)*4)*0.55</f>
        <v>33.527999999999999</v>
      </c>
      <c r="G24" s="513"/>
      <c r="H24" s="3791"/>
      <c r="I24" s="3823"/>
      <c r="J24" s="122"/>
    </row>
    <row r="25" spans="1:122" s="158" customFormat="1" ht="13.5" customHeight="1">
      <c r="A25" s="702"/>
      <c r="B25" s="161"/>
      <c r="C25" s="162"/>
      <c r="D25" s="193" t="s">
        <v>6127</v>
      </c>
      <c r="E25" s="163"/>
      <c r="F25" s="164"/>
      <c r="G25" s="165"/>
      <c r="H25" s="3792"/>
      <c r="I25" s="3824"/>
      <c r="J25" s="167"/>
      <c r="V25" s="159"/>
      <c r="X25" s="159"/>
    </row>
    <row r="26" spans="1:122" s="158" customFormat="1" ht="13.5" customHeight="1">
      <c r="A26" s="702"/>
      <c r="B26" s="161"/>
      <c r="C26" s="162"/>
      <c r="D26" s="163" t="s">
        <v>6128</v>
      </c>
      <c r="E26" s="163"/>
      <c r="F26" s="164">
        <f>(1.6*1.6*4.8)*0.55</f>
        <v>6.7584000000000017</v>
      </c>
      <c r="G26" s="165"/>
      <c r="H26" s="3792"/>
      <c r="I26" s="3824"/>
      <c r="J26" s="167"/>
      <c r="K26" s="171"/>
      <c r="V26" s="159"/>
      <c r="X26" s="159"/>
    </row>
    <row r="27" spans="1:122" s="158" customFormat="1" ht="13.5" customHeight="1">
      <c r="A27" s="702"/>
      <c r="B27" s="161"/>
      <c r="C27" s="162"/>
      <c r="D27" s="163" t="s">
        <v>6129</v>
      </c>
      <c r="E27" s="163"/>
      <c r="F27" s="164">
        <f>(1.6*1.6*4.6)*0.55</f>
        <v>6.4768000000000017</v>
      </c>
      <c r="G27" s="165"/>
      <c r="H27" s="3792"/>
      <c r="I27" s="3824"/>
      <c r="J27" s="167"/>
      <c r="K27" s="171"/>
      <c r="V27" s="159"/>
      <c r="X27" s="159"/>
    </row>
    <row r="28" spans="1:122" s="158" customFormat="1" ht="13.5" customHeight="1">
      <c r="A28" s="702"/>
      <c r="B28" s="161"/>
      <c r="C28" s="162"/>
      <c r="D28" s="193" t="s">
        <v>6130</v>
      </c>
      <c r="E28" s="163"/>
      <c r="F28" s="164"/>
      <c r="G28" s="165"/>
      <c r="H28" s="3792"/>
      <c r="I28" s="3824"/>
      <c r="J28" s="167"/>
      <c r="V28" s="159"/>
      <c r="X28" s="159"/>
    </row>
    <row r="29" spans="1:122" s="158" customFormat="1" ht="13.5" customHeight="1">
      <c r="A29" s="702"/>
      <c r="B29" s="161"/>
      <c r="C29" s="162"/>
      <c r="D29" s="163" t="s">
        <v>6131</v>
      </c>
      <c r="E29" s="163"/>
      <c r="F29" s="164">
        <f>(1.6*1.6*1.15)*0.3</f>
        <v>0.8832000000000001</v>
      </c>
      <c r="G29" s="165"/>
      <c r="H29" s="3792"/>
      <c r="I29" s="3824"/>
      <c r="J29" s="167"/>
      <c r="K29" s="171"/>
      <c r="V29" s="159"/>
      <c r="X29" s="159"/>
    </row>
    <row r="30" spans="1:122" s="158" customFormat="1" ht="13.5" customHeight="1">
      <c r="A30" s="702"/>
      <c r="B30" s="161"/>
      <c r="C30" s="162"/>
      <c r="D30" s="163" t="s">
        <v>6132</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6133</v>
      </c>
      <c r="E32" s="151"/>
      <c r="F32" s="136"/>
      <c r="G32" s="362"/>
      <c r="H32" s="3790"/>
      <c r="I32" s="3822"/>
      <c r="J32" s="153"/>
    </row>
    <row r="33" spans="1:122" s="120" customFormat="1" ht="27" customHeight="1">
      <c r="A33" s="115"/>
      <c r="B33" s="121"/>
      <c r="C33" s="163"/>
      <c r="D33" s="163" t="s">
        <v>6134</v>
      </c>
      <c r="E33" s="163"/>
      <c r="F33" s="164">
        <f>(((32)*0.8)*1)*0.6</f>
        <v>15.36</v>
      </c>
      <c r="G33" s="513"/>
      <c r="H33" s="3791"/>
      <c r="I33" s="3823"/>
      <c r="J33" s="122"/>
    </row>
    <row r="34" spans="1:122" s="120" customFormat="1" ht="27" customHeight="1">
      <c r="A34" s="115"/>
      <c r="B34" s="121"/>
      <c r="C34" s="163"/>
      <c r="D34" s="163" t="s">
        <v>6135</v>
      </c>
      <c r="E34" s="163"/>
      <c r="F34" s="164">
        <f>(((81.4)*0.8)*1)*0.6</f>
        <v>39.072000000000003</v>
      </c>
      <c r="G34" s="513"/>
      <c r="H34" s="3791"/>
      <c r="I34" s="3823"/>
      <c r="J34" s="122"/>
    </row>
    <row r="35" spans="1:122" s="120" customFormat="1" ht="27" customHeight="1">
      <c r="A35" s="115"/>
      <c r="B35" s="121"/>
      <c r="C35" s="163"/>
      <c r="D35" s="163" t="s">
        <v>6136</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6137</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6138</v>
      </c>
      <c r="E38" s="151"/>
      <c r="F38" s="136"/>
      <c r="G38" s="362"/>
      <c r="H38" s="3790"/>
      <c r="I38" s="3822"/>
      <c r="J38" s="153"/>
    </row>
    <row r="39" spans="1:122" s="120" customFormat="1" ht="27" customHeight="1">
      <c r="A39" s="115"/>
      <c r="B39" s="121"/>
      <c r="C39" s="163"/>
      <c r="D39" s="163" t="s">
        <v>6139</v>
      </c>
      <c r="E39" s="163"/>
      <c r="F39" s="164">
        <f>(((4.7+2.3+4)*1.2)*4)*0.35</f>
        <v>18.479999999999997</v>
      </c>
      <c r="G39" s="513"/>
      <c r="H39" s="3791"/>
      <c r="I39" s="3823"/>
      <c r="J39" s="122"/>
    </row>
    <row r="40" spans="1:122" s="120" customFormat="1" ht="27" customHeight="1">
      <c r="A40" s="115"/>
      <c r="B40" s="121"/>
      <c r="C40" s="163"/>
      <c r="D40" s="163" t="s">
        <v>6140</v>
      </c>
      <c r="E40" s="163"/>
      <c r="F40" s="164">
        <f>(((4.1+1+7.6)*1.2)*4)*0.35</f>
        <v>21.335999999999995</v>
      </c>
      <c r="G40" s="513"/>
      <c r="H40" s="3791"/>
      <c r="I40" s="3823"/>
      <c r="J40" s="122"/>
    </row>
    <row r="41" spans="1:122" s="158" customFormat="1" ht="13.5" customHeight="1">
      <c r="A41" s="702"/>
      <c r="B41" s="161"/>
      <c r="C41" s="162"/>
      <c r="D41" s="193" t="s">
        <v>6141</v>
      </c>
      <c r="E41" s="163"/>
      <c r="F41" s="164"/>
      <c r="G41" s="165"/>
      <c r="H41" s="3792"/>
      <c r="I41" s="3824"/>
      <c r="J41" s="167"/>
      <c r="V41" s="159"/>
      <c r="X41" s="159"/>
    </row>
    <row r="42" spans="1:122" s="158" customFormat="1" ht="13.5" customHeight="1">
      <c r="A42" s="702"/>
      <c r="B42" s="161"/>
      <c r="C42" s="162"/>
      <c r="D42" s="163" t="s">
        <v>6142</v>
      </c>
      <c r="E42" s="163"/>
      <c r="F42" s="164">
        <f>(1.6*1.6*4.8)*0.35</f>
        <v>4.3008000000000006</v>
      </c>
      <c r="G42" s="165"/>
      <c r="H42" s="3792"/>
      <c r="I42" s="3824"/>
      <c r="J42" s="167"/>
      <c r="K42" s="171"/>
      <c r="V42" s="159"/>
      <c r="X42" s="159"/>
    </row>
    <row r="43" spans="1:122" s="158" customFormat="1" ht="13.5" customHeight="1">
      <c r="A43" s="702"/>
      <c r="B43" s="161"/>
      <c r="C43" s="162"/>
      <c r="D43" s="163" t="s">
        <v>6143</v>
      </c>
      <c r="E43" s="163"/>
      <c r="F43" s="164">
        <f>(1.6*1.6*4.6)*0.35</f>
        <v>4.1215999999999999</v>
      </c>
      <c r="G43" s="165"/>
      <c r="H43" s="3792"/>
      <c r="I43" s="3824"/>
      <c r="J43" s="167"/>
      <c r="K43" s="171"/>
      <c r="V43" s="159"/>
      <c r="X43" s="159"/>
    </row>
    <row r="44" spans="1:122" s="158" customFormat="1" ht="13.5" customHeight="1">
      <c r="A44" s="702"/>
      <c r="B44" s="161"/>
      <c r="C44" s="162"/>
      <c r="D44" s="193" t="s">
        <v>6144</v>
      </c>
      <c r="E44" s="163"/>
      <c r="F44" s="164"/>
      <c r="G44" s="165"/>
      <c r="H44" s="3792"/>
      <c r="I44" s="3824"/>
      <c r="J44" s="167"/>
      <c r="V44" s="159"/>
      <c r="X44" s="159"/>
    </row>
    <row r="45" spans="1:122" s="158" customFormat="1" ht="13.5" customHeight="1">
      <c r="A45" s="702"/>
      <c r="B45" s="161"/>
      <c r="C45" s="162"/>
      <c r="D45" s="163" t="s">
        <v>6145</v>
      </c>
      <c r="E45" s="163"/>
      <c r="F45" s="164">
        <f>(1.6*1.6*1.15)*0.6</f>
        <v>1.7664000000000002</v>
      </c>
      <c r="G45" s="165"/>
      <c r="H45" s="3792"/>
      <c r="I45" s="3824"/>
      <c r="J45" s="167"/>
      <c r="K45" s="171"/>
      <c r="V45" s="159"/>
      <c r="X45" s="159"/>
    </row>
    <row r="46" spans="1:122" s="158" customFormat="1" ht="13.5" customHeight="1">
      <c r="A46" s="702"/>
      <c r="B46" s="161"/>
      <c r="C46" s="162"/>
      <c r="D46" s="163" t="s">
        <v>6132</v>
      </c>
      <c r="E46" s="163"/>
      <c r="F46" s="164"/>
      <c r="G46" s="165"/>
      <c r="H46" s="3792"/>
      <c r="I46" s="3824"/>
      <c r="J46" s="167"/>
      <c r="K46" s="171"/>
      <c r="V46" s="159"/>
      <c r="X46" s="159"/>
    </row>
    <row r="47" spans="1:122" s="192" customFormat="1" ht="27" customHeight="1">
      <c r="A47" s="2251">
        <v>11</v>
      </c>
      <c r="B47" s="151" t="s">
        <v>850</v>
      </c>
      <c r="C47" s="151">
        <v>132454101</v>
      </c>
      <c r="D47" s="151" t="s">
        <v>6146</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6147</v>
      </c>
      <c r="E48" s="151"/>
      <c r="F48" s="136"/>
      <c r="G48" s="362"/>
      <c r="H48" s="3790"/>
      <c r="I48" s="3822"/>
      <c r="J48" s="153"/>
    </row>
    <row r="49" spans="1:122" s="120" customFormat="1" ht="27" customHeight="1">
      <c r="A49" s="115"/>
      <c r="B49" s="121"/>
      <c r="C49" s="163"/>
      <c r="D49" s="163" t="s">
        <v>6148</v>
      </c>
      <c r="E49" s="163"/>
      <c r="F49" s="164">
        <f>(((32)*0.8)*1)*0.1</f>
        <v>2.5600000000000005</v>
      </c>
      <c r="G49" s="513"/>
      <c r="H49" s="3791"/>
      <c r="I49" s="3823"/>
      <c r="J49" s="122"/>
    </row>
    <row r="50" spans="1:122" s="120" customFormat="1" ht="27" customHeight="1">
      <c r="A50" s="115"/>
      <c r="B50" s="121"/>
      <c r="C50" s="163"/>
      <c r="D50" s="163" t="s">
        <v>6149</v>
      </c>
      <c r="E50" s="163"/>
      <c r="F50" s="164">
        <f>(((81.4)*0.8)*1)*0.1</f>
        <v>6.5120000000000005</v>
      </c>
      <c r="G50" s="513"/>
      <c r="H50" s="3791"/>
      <c r="I50" s="3823"/>
      <c r="J50" s="122"/>
    </row>
    <row r="51" spans="1:122" s="120" customFormat="1" ht="27" customHeight="1">
      <c r="A51" s="115"/>
      <c r="B51" s="121"/>
      <c r="C51" s="163"/>
      <c r="D51" s="163" t="s">
        <v>6150</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6151</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6147</v>
      </c>
      <c r="E54" s="151"/>
      <c r="F54" s="136"/>
      <c r="G54" s="362"/>
      <c r="H54" s="3790"/>
      <c r="I54" s="3822"/>
      <c r="J54" s="153"/>
    </row>
    <row r="55" spans="1:122" s="120" customFormat="1" ht="27" customHeight="1">
      <c r="A55" s="115"/>
      <c r="B55" s="121"/>
      <c r="C55" s="163"/>
      <c r="D55" s="163" t="s">
        <v>6152</v>
      </c>
      <c r="E55" s="163"/>
      <c r="F55" s="164">
        <f>(((4.7+2.3+4)*1.2)*4)*0.1</f>
        <v>5.28</v>
      </c>
      <c r="G55" s="513"/>
      <c r="H55" s="3791"/>
      <c r="I55" s="3823"/>
      <c r="J55" s="122"/>
      <c r="L55" s="598"/>
    </row>
    <row r="56" spans="1:122" s="120" customFormat="1" ht="27" customHeight="1">
      <c r="A56" s="115"/>
      <c r="B56" s="121"/>
      <c r="C56" s="163"/>
      <c r="D56" s="163" t="s">
        <v>6153</v>
      </c>
      <c r="E56" s="163"/>
      <c r="F56" s="164">
        <f>(((4.1+1+7.6)*1.2)*4)*0.1</f>
        <v>6.0960000000000001</v>
      </c>
      <c r="G56" s="513"/>
      <c r="H56" s="3791"/>
      <c r="I56" s="3823"/>
      <c r="J56" s="122"/>
    </row>
    <row r="57" spans="1:122" s="158" customFormat="1" ht="13.5" customHeight="1">
      <c r="A57" s="702"/>
      <c r="B57" s="161"/>
      <c r="C57" s="162"/>
      <c r="D57" s="193" t="s">
        <v>6154</v>
      </c>
      <c r="E57" s="163"/>
      <c r="F57" s="164"/>
      <c r="G57" s="165"/>
      <c r="H57" s="3792"/>
      <c r="I57" s="3824"/>
      <c r="J57" s="167"/>
      <c r="V57" s="159"/>
      <c r="X57" s="159"/>
    </row>
    <row r="58" spans="1:122" s="158" customFormat="1" ht="13.5" customHeight="1">
      <c r="A58" s="702"/>
      <c r="B58" s="161"/>
      <c r="C58" s="162"/>
      <c r="D58" s="163" t="s">
        <v>6155</v>
      </c>
      <c r="E58" s="163"/>
      <c r="F58" s="164">
        <f>(1.6*1.6*4.8)*0.1</f>
        <v>1.2288000000000003</v>
      </c>
      <c r="G58" s="165"/>
      <c r="H58" s="3792"/>
      <c r="I58" s="3824"/>
      <c r="J58" s="167"/>
      <c r="K58" s="171"/>
      <c r="V58" s="159"/>
      <c r="X58" s="159"/>
    </row>
    <row r="59" spans="1:122" s="158" customFormat="1" ht="13.5" customHeight="1">
      <c r="A59" s="702"/>
      <c r="B59" s="161"/>
      <c r="C59" s="162"/>
      <c r="D59" s="163" t="s">
        <v>6156</v>
      </c>
      <c r="E59" s="163"/>
      <c r="F59" s="164">
        <f>(1.6*1.6*4.6)*0.1</f>
        <v>1.1776000000000002</v>
      </c>
      <c r="G59" s="165"/>
      <c r="H59" s="3792"/>
      <c r="I59" s="3824"/>
      <c r="J59" s="167"/>
      <c r="K59" s="171"/>
      <c r="V59" s="159"/>
      <c r="X59" s="159"/>
    </row>
    <row r="60" spans="1:122" s="158" customFormat="1" ht="13.5" customHeight="1">
      <c r="A60" s="702"/>
      <c r="B60" s="161"/>
      <c r="C60" s="162"/>
      <c r="D60" s="193" t="s">
        <v>6157</v>
      </c>
      <c r="E60" s="163"/>
      <c r="F60" s="164"/>
      <c r="G60" s="165"/>
      <c r="H60" s="3792"/>
      <c r="I60" s="3824"/>
      <c r="J60" s="167"/>
      <c r="V60" s="159"/>
      <c r="X60" s="159"/>
    </row>
    <row r="61" spans="1:122" s="158" customFormat="1" ht="13.5" customHeight="1">
      <c r="A61" s="702"/>
      <c r="B61" s="161"/>
      <c r="C61" s="162"/>
      <c r="D61" s="163" t="s">
        <v>6158</v>
      </c>
      <c r="E61" s="163"/>
      <c r="F61" s="164">
        <f>(1.6*1.6*1.15)*0.1</f>
        <v>0.29440000000000005</v>
      </c>
      <c r="G61" s="165"/>
      <c r="H61" s="3792"/>
      <c r="I61" s="3824"/>
      <c r="J61" s="167"/>
      <c r="K61" s="171"/>
      <c r="V61" s="159"/>
      <c r="X61" s="159"/>
    </row>
    <row r="62" spans="1:122" s="158" customFormat="1" ht="13.5" customHeight="1">
      <c r="A62" s="702"/>
      <c r="B62" s="161"/>
      <c r="C62" s="162"/>
      <c r="D62" s="163" t="s">
        <v>6132</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6159</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6160</v>
      </c>
      <c r="E66" s="163"/>
      <c r="F66" s="164"/>
      <c r="G66" s="165"/>
      <c r="H66" s="3792"/>
      <c r="I66" s="3824"/>
      <c r="J66" s="167"/>
      <c r="K66" s="512"/>
      <c r="L66" s="4802"/>
      <c r="V66" s="159"/>
      <c r="X66" s="159"/>
    </row>
    <row r="67" spans="1:256" s="120" customFormat="1" ht="27" customHeight="1">
      <c r="A67" s="115"/>
      <c r="B67" s="121"/>
      <c r="C67" s="163"/>
      <c r="D67" s="163" t="s">
        <v>6161</v>
      </c>
      <c r="E67" s="163"/>
      <c r="F67" s="164">
        <f>(((32)*1)*2)*0.6</f>
        <v>38.4</v>
      </c>
      <c r="G67" s="513"/>
      <c r="H67" s="3791"/>
      <c r="I67" s="3823"/>
      <c r="J67" s="122"/>
    </row>
    <row r="68" spans="1:256" s="120" customFormat="1" ht="27" customHeight="1">
      <c r="A68" s="115"/>
      <c r="B68" s="121"/>
      <c r="C68" s="163"/>
      <c r="D68" s="163" t="s">
        <v>6162</v>
      </c>
      <c r="E68" s="163"/>
      <c r="F68" s="164">
        <f>(((81.4)*1)*2)*0.6</f>
        <v>97.68</v>
      </c>
      <c r="G68" s="513"/>
      <c r="H68" s="3791"/>
      <c r="I68" s="3823"/>
      <c r="J68" s="122"/>
    </row>
    <row r="69" spans="1:256" s="120" customFormat="1" ht="27" customHeight="1">
      <c r="A69" s="115"/>
      <c r="B69" s="121"/>
      <c r="C69" s="163"/>
      <c r="D69" s="163" t="s">
        <v>6163</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6164</v>
      </c>
      <c r="E71" s="163"/>
      <c r="F71" s="164"/>
      <c r="G71" s="513"/>
      <c r="H71" s="3791"/>
      <c r="I71" s="3823"/>
      <c r="J71" s="122"/>
    </row>
    <row r="72" spans="1:256" s="187" customFormat="1" ht="27" customHeight="1">
      <c r="A72" s="1749"/>
      <c r="B72" s="207"/>
      <c r="C72" s="151"/>
      <c r="D72" s="163" t="s">
        <v>6165</v>
      </c>
      <c r="E72" s="151"/>
      <c r="F72" s="136">
        <f>(((4.7+2.3+4)*4)*2)*0.8</f>
        <v>70.400000000000006</v>
      </c>
      <c r="G72" s="362"/>
      <c r="H72" s="3790"/>
      <c r="I72" s="3822"/>
      <c r="J72" s="153"/>
    </row>
    <row r="73" spans="1:256" s="187" customFormat="1" ht="27" customHeight="1">
      <c r="A73" s="1749"/>
      <c r="B73" s="207"/>
      <c r="C73" s="151"/>
      <c r="D73" s="163" t="s">
        <v>6166</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6167</v>
      </c>
      <c r="E76" s="121" t="s">
        <v>611</v>
      </c>
      <c r="F76" s="210">
        <f>ROUND(SUM(F77:F79),3)</f>
        <v>60.16</v>
      </c>
      <c r="G76" s="137"/>
      <c r="H76" s="3789">
        <f>ROUND(F76*G76,2)</f>
        <v>0</v>
      </c>
      <c r="I76" s="3821"/>
      <c r="J76" s="122" t="s">
        <v>142</v>
      </c>
    </row>
    <row r="77" spans="1:256" s="120" customFormat="1" ht="13.5" customHeight="1">
      <c r="A77" s="115"/>
      <c r="B77" s="121"/>
      <c r="C77" s="163"/>
      <c r="D77" s="135" t="s">
        <v>6168</v>
      </c>
      <c r="E77" s="163"/>
      <c r="F77" s="164"/>
      <c r="G77" s="513"/>
      <c r="H77" s="3791"/>
      <c r="I77" s="3823"/>
      <c r="J77" s="122"/>
    </row>
    <row r="78" spans="1:256" s="120" customFormat="1" ht="13.5" customHeight="1">
      <c r="A78" s="115"/>
      <c r="B78" s="121"/>
      <c r="C78" s="163"/>
      <c r="D78" s="135" t="s">
        <v>6169</v>
      </c>
      <c r="E78" s="163"/>
      <c r="F78" s="164">
        <f>(1.6*4.8)*4</f>
        <v>30.72</v>
      </c>
      <c r="G78" s="513"/>
      <c r="H78" s="3791"/>
      <c r="I78" s="3823"/>
      <c r="J78" s="122"/>
    </row>
    <row r="79" spans="1:256" s="120" customFormat="1" ht="13.5" customHeight="1">
      <c r="A79" s="115"/>
      <c r="B79" s="121"/>
      <c r="C79" s="163"/>
      <c r="D79" s="135" t="s">
        <v>6170</v>
      </c>
      <c r="E79" s="163"/>
      <c r="F79" s="164">
        <f>(1.6*4.6)*4</f>
        <v>29.439999999999998</v>
      </c>
      <c r="G79" s="513"/>
      <c r="H79" s="3791"/>
      <c r="I79" s="3823"/>
      <c r="J79" s="122"/>
    </row>
    <row r="80" spans="1:256" s="120" customFormat="1" ht="13.5" customHeight="1">
      <c r="A80" s="115">
        <v>19</v>
      </c>
      <c r="B80" s="121" t="s">
        <v>850</v>
      </c>
      <c r="C80" s="121">
        <v>151811242</v>
      </c>
      <c r="D80" s="121" t="s">
        <v>6171</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6172</v>
      </c>
      <c r="E81" s="121" t="s">
        <v>221</v>
      </c>
      <c r="F81" s="210">
        <f>ROUND(SUM(F84:F85),3)</f>
        <v>13.234999999999999</v>
      </c>
      <c r="G81" s="137"/>
      <c r="H81" s="3789">
        <f>ROUND(F81*G81,2)</f>
        <v>0</v>
      </c>
      <c r="I81" s="3821"/>
      <c r="J81" s="122" t="s">
        <v>142</v>
      </c>
    </row>
    <row r="82" spans="1:11" s="120" customFormat="1" ht="13.5" customHeight="1">
      <c r="A82" s="115"/>
      <c r="B82" s="121"/>
      <c r="C82" s="163"/>
      <c r="D82" s="163" t="s">
        <v>6173</v>
      </c>
      <c r="E82" s="163"/>
      <c r="F82" s="164"/>
      <c r="G82" s="513"/>
      <c r="H82" s="3791"/>
      <c r="I82" s="3823"/>
      <c r="J82" s="122"/>
      <c r="K82" s="187"/>
    </row>
    <row r="83" spans="1:11" s="120" customFormat="1" ht="13.5" customHeight="1">
      <c r="A83" s="115"/>
      <c r="B83" s="121"/>
      <c r="C83" s="163"/>
      <c r="D83" s="163" t="s">
        <v>6174</v>
      </c>
      <c r="E83" s="163"/>
      <c r="F83" s="164"/>
      <c r="G83" s="513"/>
      <c r="H83" s="3791"/>
      <c r="I83" s="3823"/>
      <c r="J83" s="122"/>
      <c r="K83" s="187"/>
    </row>
    <row r="84" spans="1:11" s="120" customFormat="1" ht="13.5" customHeight="1">
      <c r="A84" s="115"/>
      <c r="B84" s="121"/>
      <c r="C84" s="163"/>
      <c r="D84" s="163" t="s">
        <v>6175</v>
      </c>
      <c r="E84" s="163"/>
      <c r="F84" s="164">
        <f>6.758</f>
        <v>6.758</v>
      </c>
      <c r="G84" s="513"/>
      <c r="H84" s="3791"/>
      <c r="I84" s="3823"/>
      <c r="J84" s="122"/>
      <c r="K84" s="187"/>
    </row>
    <row r="85" spans="1:11" s="120" customFormat="1" ht="13.5" customHeight="1">
      <c r="A85" s="115"/>
      <c r="B85" s="121"/>
      <c r="C85" s="163"/>
      <c r="D85" s="163" t="s">
        <v>6176</v>
      </c>
      <c r="E85" s="163"/>
      <c r="F85" s="164">
        <f>6.477</f>
        <v>6.4770000000000003</v>
      </c>
      <c r="G85" s="513"/>
      <c r="H85" s="3791"/>
      <c r="I85" s="3823"/>
      <c r="J85" s="122"/>
      <c r="K85" s="187"/>
    </row>
    <row r="86" spans="1:11" s="120" customFormat="1" ht="13.5" customHeight="1">
      <c r="A86" s="115"/>
      <c r="B86" s="121"/>
      <c r="C86" s="163"/>
      <c r="D86" s="163" t="s">
        <v>6177</v>
      </c>
      <c r="E86" s="163"/>
      <c r="F86" s="164"/>
      <c r="G86" s="513"/>
      <c r="H86" s="3791"/>
      <c r="I86" s="3823"/>
      <c r="J86" s="122"/>
    </row>
    <row r="87" spans="1:11" s="120" customFormat="1" ht="13.5" customHeight="1">
      <c r="A87" s="115">
        <v>21</v>
      </c>
      <c r="B87" s="121" t="s">
        <v>850</v>
      </c>
      <c r="C87" s="121">
        <v>161151113</v>
      </c>
      <c r="D87" s="121" t="s">
        <v>6178</v>
      </c>
      <c r="E87" s="121" t="s">
        <v>221</v>
      </c>
      <c r="F87" s="210">
        <f>ROUND(SUM(F90:F91),3)</f>
        <v>10.83</v>
      </c>
      <c r="G87" s="137"/>
      <c r="H87" s="3789">
        <f>ROUND(F87*G87,2)</f>
        <v>0</v>
      </c>
      <c r="I87" s="3821"/>
      <c r="J87" s="122" t="s">
        <v>142</v>
      </c>
    </row>
    <row r="88" spans="1:11" s="120" customFormat="1" ht="13.5" customHeight="1">
      <c r="A88" s="115"/>
      <c r="B88" s="121"/>
      <c r="C88" s="163"/>
      <c r="D88" s="163" t="s">
        <v>6173</v>
      </c>
      <c r="E88" s="163"/>
      <c r="F88" s="164"/>
      <c r="G88" s="513"/>
      <c r="H88" s="3791"/>
      <c r="I88" s="3823"/>
      <c r="J88" s="122"/>
      <c r="K88" s="187"/>
    </row>
    <row r="89" spans="1:11" s="120" customFormat="1" ht="13.5" customHeight="1">
      <c r="A89" s="115"/>
      <c r="B89" s="121"/>
      <c r="C89" s="163"/>
      <c r="D89" s="163" t="s">
        <v>6174</v>
      </c>
      <c r="E89" s="163"/>
      <c r="F89" s="164"/>
      <c r="G89" s="513"/>
      <c r="H89" s="3791"/>
      <c r="I89" s="3823"/>
      <c r="J89" s="122"/>
      <c r="K89" s="187"/>
    </row>
    <row r="90" spans="1:11" s="120" customFormat="1" ht="13.5" customHeight="1">
      <c r="A90" s="115"/>
      <c r="B90" s="121"/>
      <c r="C90" s="163"/>
      <c r="D90" s="163" t="s">
        <v>6179</v>
      </c>
      <c r="E90" s="163"/>
      <c r="F90" s="164">
        <f>(4.301)+(1.229)</f>
        <v>5.53</v>
      </c>
      <c r="G90" s="513"/>
      <c r="H90" s="3791"/>
      <c r="I90" s="3823"/>
      <c r="J90" s="122"/>
      <c r="K90" s="187"/>
    </row>
    <row r="91" spans="1:11" s="120" customFormat="1" ht="13.5" customHeight="1">
      <c r="A91" s="115"/>
      <c r="B91" s="121"/>
      <c r="C91" s="163"/>
      <c r="D91" s="163" t="s">
        <v>6180</v>
      </c>
      <c r="E91" s="163"/>
      <c r="F91" s="164">
        <f>(4.122)+(1.178)</f>
        <v>5.3</v>
      </c>
      <c r="G91" s="513"/>
      <c r="H91" s="3791"/>
      <c r="I91" s="3823"/>
      <c r="J91" s="122"/>
      <c r="K91" s="187"/>
    </row>
    <row r="92" spans="1:11" s="120" customFormat="1" ht="13.5" customHeight="1">
      <c r="A92" s="115"/>
      <c r="B92" s="121"/>
      <c r="C92" s="163"/>
      <c r="D92" s="163" t="s">
        <v>6177</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6181</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6182</v>
      </c>
      <c r="E96" s="121"/>
      <c r="F96" s="173"/>
      <c r="G96" s="137"/>
      <c r="H96" s="3791"/>
      <c r="I96" s="3823"/>
      <c r="J96" s="122"/>
      <c r="K96" s="278"/>
    </row>
    <row r="97" spans="1:24" s="120" customFormat="1" ht="27" customHeight="1">
      <c r="A97" s="115"/>
      <c r="B97" s="121"/>
      <c r="C97" s="163"/>
      <c r="D97" s="163" t="s">
        <v>6183</v>
      </c>
      <c r="E97" s="163"/>
      <c r="F97" s="164">
        <f>(32*0.8)*(1-0.15-0.4)</f>
        <v>11.52</v>
      </c>
      <c r="G97" s="513"/>
      <c r="H97" s="3791"/>
      <c r="I97" s="3823"/>
      <c r="J97" s="122"/>
    </row>
    <row r="98" spans="1:24" s="120" customFormat="1" ht="27" customHeight="1">
      <c r="A98" s="115"/>
      <c r="B98" s="121"/>
      <c r="C98" s="163"/>
      <c r="D98" s="163" t="s">
        <v>6184</v>
      </c>
      <c r="E98" s="163"/>
      <c r="F98" s="164">
        <f>(81.4*0.8)*(1-0.15-0.4)</f>
        <v>29.303999999999998</v>
      </c>
      <c r="G98" s="513"/>
      <c r="H98" s="3791"/>
      <c r="I98" s="3823"/>
      <c r="J98" s="122"/>
      <c r="K98" s="598"/>
    </row>
    <row r="99" spans="1:24" s="120" customFormat="1" ht="27" customHeight="1">
      <c r="A99" s="115"/>
      <c r="B99" s="121"/>
      <c r="C99" s="163"/>
      <c r="D99" s="163" t="s">
        <v>6185</v>
      </c>
      <c r="E99" s="163"/>
      <c r="F99" s="164">
        <f>(10.4*0.8)*(1-0.15-0.4)</f>
        <v>3.7439999999999998</v>
      </c>
      <c r="G99" s="513"/>
      <c r="H99" s="3791"/>
      <c r="I99" s="3823"/>
      <c r="J99" s="122"/>
    </row>
    <row r="100" spans="1:24" s="120" customFormat="1" ht="27" customHeight="1">
      <c r="A100" s="115"/>
      <c r="B100" s="121"/>
      <c r="C100" s="163"/>
      <c r="D100" s="163" t="s">
        <v>6186</v>
      </c>
      <c r="E100" s="163"/>
      <c r="F100" s="164">
        <f>((4.7+2.3+4)*1.2)*(4-0.15-0.4)</f>
        <v>45.54</v>
      </c>
      <c r="G100" s="513"/>
      <c r="H100" s="3791"/>
      <c r="I100" s="3823"/>
      <c r="J100" s="122"/>
      <c r="K100" s="598"/>
    </row>
    <row r="101" spans="1:24" s="120" customFormat="1" ht="27" customHeight="1">
      <c r="A101" s="115"/>
      <c r="B101" s="121"/>
      <c r="C101" s="163"/>
      <c r="D101" s="163" t="s">
        <v>6187</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6188</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6189</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6190</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6191</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6192</v>
      </c>
      <c r="E109" s="417"/>
      <c r="F109" s="418">
        <f>(10.589)*2</f>
        <v>21.178000000000001</v>
      </c>
      <c r="G109" s="733"/>
      <c r="H109" s="3794"/>
      <c r="I109" s="3826"/>
      <c r="J109" s="735"/>
      <c r="K109" s="726"/>
      <c r="V109" s="159"/>
      <c r="X109" s="159"/>
    </row>
    <row r="110" spans="1:24" s="158" customFormat="1" ht="13.5" customHeight="1">
      <c r="A110" s="729"/>
      <c r="B110" s="730"/>
      <c r="C110" s="731"/>
      <c r="D110" s="417" t="s">
        <v>6193</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6194</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6195</v>
      </c>
      <c r="E113" s="163"/>
      <c r="F113" s="164">
        <f>((32)*0.8)*0.4</f>
        <v>10.240000000000002</v>
      </c>
      <c r="G113" s="513"/>
      <c r="H113" s="3791"/>
      <c r="I113" s="3823"/>
      <c r="J113" s="122"/>
    </row>
    <row r="114" spans="1:257" s="120" customFormat="1" ht="27" customHeight="1">
      <c r="A114" s="115"/>
      <c r="B114" s="121"/>
      <c r="C114" s="163"/>
      <c r="D114" s="163" t="s">
        <v>6196</v>
      </c>
      <c r="E114" s="163"/>
      <c r="F114" s="164">
        <f>((81.4)*0.8)*0.4</f>
        <v>26.048000000000002</v>
      </c>
      <c r="G114" s="513"/>
      <c r="H114" s="3791"/>
      <c r="I114" s="3823"/>
      <c r="J114" s="122"/>
    </row>
    <row r="115" spans="1:257" s="120" customFormat="1" ht="27" customHeight="1">
      <c r="A115" s="115"/>
      <c r="B115" s="121"/>
      <c r="C115" s="163"/>
      <c r="D115" s="163" t="s">
        <v>6197</v>
      </c>
      <c r="E115" s="163"/>
      <c r="F115" s="164">
        <f>((10.4)*0.8)*0.4</f>
        <v>3.3280000000000003</v>
      </c>
      <c r="G115" s="513"/>
      <c r="H115" s="3791"/>
      <c r="I115" s="3823"/>
      <c r="J115" s="122"/>
    </row>
    <row r="116" spans="1:257" s="120" customFormat="1" ht="27" customHeight="1">
      <c r="A116" s="115"/>
      <c r="B116" s="121"/>
      <c r="C116" s="163"/>
      <c r="D116" s="163" t="s">
        <v>6198</v>
      </c>
      <c r="E116" s="163"/>
      <c r="F116" s="164">
        <f>((4.7+2.3+4)*1.2)*0.4</f>
        <v>5.28</v>
      </c>
      <c r="G116" s="513"/>
      <c r="H116" s="3791"/>
      <c r="I116" s="3823"/>
      <c r="J116" s="122"/>
    </row>
    <row r="117" spans="1:257" s="120" customFormat="1" ht="27" customHeight="1">
      <c r="A117" s="115"/>
      <c r="B117" s="121"/>
      <c r="C117" s="163"/>
      <c r="D117" s="163" t="s">
        <v>6199</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6194</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6200</v>
      </c>
      <c r="E120" s="417"/>
      <c r="F120" s="418">
        <f>(10.24)*2</f>
        <v>20.48</v>
      </c>
      <c r="G120" s="2252"/>
      <c r="H120" s="3795"/>
      <c r="I120" s="3827"/>
      <c r="J120" s="143"/>
    </row>
    <row r="121" spans="1:257" s="120" customFormat="1" ht="27" customHeight="1">
      <c r="A121" s="727"/>
      <c r="B121" s="140"/>
      <c r="C121" s="417"/>
      <c r="D121" s="417" t="s">
        <v>6201</v>
      </c>
      <c r="E121" s="417"/>
      <c r="F121" s="418">
        <f>(26.048)*2</f>
        <v>52.095999999999997</v>
      </c>
      <c r="G121" s="2252"/>
      <c r="H121" s="3795"/>
      <c r="I121" s="3827"/>
      <c r="J121" s="143"/>
    </row>
    <row r="122" spans="1:257" s="120" customFormat="1" ht="27" customHeight="1">
      <c r="A122" s="727"/>
      <c r="B122" s="140"/>
      <c r="C122" s="417"/>
      <c r="D122" s="417" t="s">
        <v>6202</v>
      </c>
      <c r="E122" s="417"/>
      <c r="F122" s="418">
        <f>(3.328)*2</f>
        <v>6.6559999999999997</v>
      </c>
      <c r="G122" s="2252"/>
      <c r="H122" s="3795"/>
      <c r="I122" s="3827"/>
      <c r="J122" s="143"/>
    </row>
    <row r="123" spans="1:257" s="120" customFormat="1" ht="27" customHeight="1">
      <c r="A123" s="727"/>
      <c r="B123" s="140"/>
      <c r="C123" s="417"/>
      <c r="D123" s="417" t="s">
        <v>6203</v>
      </c>
      <c r="E123" s="417"/>
      <c r="F123" s="418">
        <f>(5.28)*2</f>
        <v>10.56</v>
      </c>
      <c r="G123" s="2252"/>
      <c r="H123" s="3795"/>
      <c r="I123" s="3827"/>
      <c r="J123" s="143"/>
    </row>
    <row r="124" spans="1:257" s="120" customFormat="1" ht="27" customHeight="1">
      <c r="A124" s="727"/>
      <c r="B124" s="140"/>
      <c r="C124" s="417"/>
      <c r="D124" s="417" t="s">
        <v>6204</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6205</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6206</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6207</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6208</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6209</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6210</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6211</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6212</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6213</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6214</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6215</v>
      </c>
      <c r="E176" s="163"/>
      <c r="F176" s="164"/>
      <c r="G176" s="165"/>
      <c r="H176" s="3792"/>
      <c r="I176" s="3824"/>
      <c r="J176" s="167"/>
      <c r="K176" s="171"/>
      <c r="V176" s="159"/>
      <c r="X176" s="159"/>
    </row>
    <row r="177" spans="1:256" s="120" customFormat="1" ht="27" customHeight="1">
      <c r="A177" s="115"/>
      <c r="B177" s="121"/>
      <c r="C177" s="163"/>
      <c r="D177" s="163" t="s">
        <v>6216</v>
      </c>
      <c r="E177" s="163"/>
      <c r="F177" s="164">
        <f>((32)*0.8)*0.15</f>
        <v>3.84</v>
      </c>
      <c r="G177" s="513"/>
      <c r="H177" s="3791"/>
      <c r="I177" s="3823"/>
      <c r="J177" s="122"/>
    </row>
    <row r="178" spans="1:256" s="120" customFormat="1" ht="27" customHeight="1">
      <c r="A178" s="115"/>
      <c r="B178" s="121"/>
      <c r="C178" s="163"/>
      <c r="D178" s="163" t="s">
        <v>6217</v>
      </c>
      <c r="E178" s="163"/>
      <c r="F178" s="164">
        <f>((81.4)*0.8)*0.15</f>
        <v>9.7680000000000007</v>
      </c>
      <c r="G178" s="513"/>
      <c r="H178" s="3791"/>
      <c r="I178" s="3823"/>
      <c r="J178" s="122"/>
    </row>
    <row r="179" spans="1:256" s="120" customFormat="1" ht="27" customHeight="1">
      <c r="A179" s="115"/>
      <c r="B179" s="121"/>
      <c r="C179" s="163"/>
      <c r="D179" s="163" t="s">
        <v>6218</v>
      </c>
      <c r="E179" s="163"/>
      <c r="F179" s="164">
        <f>((10.4)*0.8)*0.15</f>
        <v>1.248</v>
      </c>
      <c r="G179" s="513"/>
      <c r="H179" s="3791"/>
      <c r="I179" s="3823"/>
      <c r="J179" s="122"/>
    </row>
    <row r="180" spans="1:256" s="120" customFormat="1" ht="27" customHeight="1">
      <c r="A180" s="115"/>
      <c r="B180" s="121"/>
      <c r="C180" s="163"/>
      <c r="D180" s="163" t="s">
        <v>6219</v>
      </c>
      <c r="E180" s="163"/>
      <c r="F180" s="164">
        <f>((4.7+2.3+4)*1.2)*0.15</f>
        <v>1.9799999999999998</v>
      </c>
      <c r="G180" s="513"/>
      <c r="H180" s="3791"/>
      <c r="I180" s="3823"/>
      <c r="J180" s="122"/>
    </row>
    <row r="181" spans="1:256" s="120" customFormat="1" ht="27" customHeight="1">
      <c r="A181" s="115"/>
      <c r="B181" s="121"/>
      <c r="C181" s="163"/>
      <c r="D181" s="163" t="s">
        <v>6220</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6221</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6222</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6223</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6224</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6225</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6226</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6227</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6228</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6229</v>
      </c>
      <c r="E197" s="121" t="s">
        <v>155</v>
      </c>
      <c r="F197" s="210">
        <f>ROUND(SUM(F198),3)</f>
        <v>31</v>
      </c>
      <c r="G197" s="137"/>
      <c r="H197" s="3789">
        <f>ROUND(F197*G197,2)</f>
        <v>0</v>
      </c>
      <c r="I197" s="3821"/>
      <c r="J197" s="153" t="s">
        <v>60</v>
      </c>
    </row>
    <row r="198" spans="1:256" s="158" customFormat="1" ht="13.5" customHeight="1">
      <c r="A198" s="702"/>
      <c r="B198" s="161"/>
      <c r="C198" s="162"/>
      <c r="D198" s="193" t="s">
        <v>6230</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6231</v>
      </c>
      <c r="E203" s="163"/>
      <c r="F203" s="164">
        <v>2</v>
      </c>
      <c r="G203" s="165"/>
      <c r="H203" s="3792"/>
      <c r="I203" s="3824"/>
      <c r="J203" s="167"/>
      <c r="K203" s="781"/>
      <c r="V203" s="159"/>
      <c r="X203" s="159"/>
    </row>
    <row r="204" spans="1:256" s="158" customFormat="1" ht="13.5" customHeight="1">
      <c r="A204" s="702"/>
      <c r="B204" s="161"/>
      <c r="C204" s="162"/>
      <c r="D204" s="193" t="s">
        <v>6232</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6233</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6234</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6235</v>
      </c>
      <c r="E213" s="163"/>
      <c r="F213" s="164">
        <v>1</v>
      </c>
      <c r="G213" s="165"/>
      <c r="H213" s="3792"/>
      <c r="I213" s="3824"/>
      <c r="J213" s="167"/>
      <c r="K213" s="171"/>
      <c r="V213" s="159"/>
      <c r="X213" s="159"/>
    </row>
    <row r="214" spans="1:122" s="158" customFormat="1" ht="13.5" customHeight="1">
      <c r="A214" s="702"/>
      <c r="B214" s="161"/>
      <c r="C214" s="162"/>
      <c r="D214" s="193" t="s">
        <v>6236</v>
      </c>
      <c r="E214" s="163"/>
      <c r="F214" s="164"/>
      <c r="G214" s="165"/>
      <c r="H214" s="3792"/>
      <c r="I214" s="3824"/>
      <c r="J214" s="167"/>
      <c r="K214" s="171"/>
      <c r="V214" s="159"/>
      <c r="X214" s="159"/>
    </row>
    <row r="215" spans="1:122" s="158" customFormat="1" ht="27" customHeight="1">
      <c r="A215" s="702"/>
      <c r="B215" s="161"/>
      <c r="C215" s="162"/>
      <c r="D215" s="193" t="s">
        <v>6237</v>
      </c>
      <c r="E215" s="163"/>
      <c r="F215" s="164"/>
      <c r="G215" s="165"/>
      <c r="H215" s="3792"/>
      <c r="I215" s="3824"/>
      <c r="J215" s="167"/>
      <c r="K215" s="171"/>
      <c r="V215" s="159"/>
      <c r="X215" s="159"/>
    </row>
    <row r="216" spans="1:122" s="1992" customFormat="1" ht="27" customHeight="1">
      <c r="A216" s="2345"/>
      <c r="B216" s="2346"/>
      <c r="C216" s="2347"/>
      <c r="D216" s="177" t="s">
        <v>6238</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6239</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6240</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6241</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6242</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6243</v>
      </c>
      <c r="E226" s="580"/>
      <c r="F226" s="581"/>
      <c r="G226" s="582"/>
      <c r="H226" s="3805"/>
      <c r="I226" s="3837"/>
      <c r="J226" s="119"/>
      <c r="K226" s="4644"/>
      <c r="L226" s="583"/>
      <c r="M226" s="583"/>
    </row>
    <row r="227" spans="1:122" s="187" customFormat="1" ht="13.5" customHeight="1">
      <c r="A227" s="2251">
        <v>42</v>
      </c>
      <c r="B227" s="151">
        <v>721</v>
      </c>
      <c r="C227" s="151" t="s">
        <v>6244</v>
      </c>
      <c r="D227" s="151" t="s">
        <v>6245</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6246</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6247</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6243</v>
      </c>
      <c r="E230" s="580"/>
      <c r="F230" s="581"/>
      <c r="G230" s="582"/>
      <c r="H230" s="3805"/>
      <c r="I230" s="3837"/>
      <c r="J230" s="119"/>
      <c r="K230" s="4644"/>
      <c r="L230" s="583"/>
      <c r="M230" s="583"/>
    </row>
    <row r="231" spans="1:122" s="187" customFormat="1" ht="13.5" customHeight="1">
      <c r="A231" s="2251">
        <v>43</v>
      </c>
      <c r="B231" s="151">
        <v>721</v>
      </c>
      <c r="C231" s="151">
        <v>721173402</v>
      </c>
      <c r="D231" s="151" t="s">
        <v>6248</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6241</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6249</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6243</v>
      </c>
      <c r="E234" s="580"/>
      <c r="F234" s="581"/>
      <c r="G234" s="582"/>
      <c r="H234" s="3805"/>
      <c r="I234" s="3837"/>
      <c r="J234" s="119"/>
      <c r="K234" s="4644"/>
      <c r="L234" s="583"/>
      <c r="M234" s="583"/>
    </row>
    <row r="235" spans="1:122" s="187" customFormat="1" ht="13.5" customHeight="1">
      <c r="A235" s="2251">
        <v>44</v>
      </c>
      <c r="B235" s="151">
        <v>721</v>
      </c>
      <c r="C235" s="151">
        <v>721173403</v>
      </c>
      <c r="D235" s="151" t="s">
        <v>6250</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6241</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6251</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6243</v>
      </c>
      <c r="E238" s="580"/>
      <c r="F238" s="581"/>
      <c r="G238" s="582"/>
      <c r="H238" s="3805"/>
      <c r="I238" s="3837"/>
      <c r="J238" s="119"/>
      <c r="K238" s="4644"/>
      <c r="L238" s="583"/>
      <c r="M238" s="583"/>
    </row>
    <row r="239" spans="1:122" s="187" customFormat="1" ht="13.5" customHeight="1">
      <c r="A239" s="2251">
        <v>45</v>
      </c>
      <c r="B239" s="151">
        <v>721</v>
      </c>
      <c r="C239" s="151">
        <v>721173404</v>
      </c>
      <c r="D239" s="151" t="s">
        <v>6252</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6241</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6253</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6243</v>
      </c>
      <c r="E242" s="580"/>
      <c r="F242" s="581"/>
      <c r="G242" s="582"/>
      <c r="H242" s="3805"/>
      <c r="I242" s="3837"/>
      <c r="J242" s="119"/>
      <c r="K242" s="4644"/>
      <c r="L242" s="583"/>
      <c r="M242" s="583"/>
    </row>
    <row r="243" spans="1:122" s="187" customFormat="1" ht="13.5" customHeight="1">
      <c r="A243" s="2251">
        <v>46</v>
      </c>
      <c r="B243" s="151">
        <v>721</v>
      </c>
      <c r="C243" s="151" t="s">
        <v>6254</v>
      </c>
      <c r="D243" s="151" t="s">
        <v>6255</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6246</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6256</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6243</v>
      </c>
      <c r="E246" s="580"/>
      <c r="F246" s="581"/>
      <c r="G246" s="582"/>
      <c r="H246" s="3805"/>
      <c r="I246" s="3837"/>
      <c r="J246" s="119"/>
      <c r="K246" s="4644"/>
      <c r="L246" s="583"/>
      <c r="M246" s="583"/>
    </row>
    <row r="247" spans="1:122" s="187" customFormat="1" ht="13.5" customHeight="1">
      <c r="A247" s="2251">
        <v>47</v>
      </c>
      <c r="B247" s="151">
        <v>721</v>
      </c>
      <c r="C247" s="151">
        <v>721174042</v>
      </c>
      <c r="D247" s="151" t="s">
        <v>6257</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6258</v>
      </c>
      <c r="E248" s="135"/>
      <c r="F248" s="2332"/>
      <c r="G248" s="2260"/>
      <c r="H248" s="3807"/>
      <c r="I248" s="3839"/>
      <c r="J248" s="2261"/>
      <c r="P248" s="421"/>
      <c r="S248" s="4817"/>
    </row>
    <row r="249" spans="1:122" s="187" customFormat="1" ht="13.5" customHeight="1">
      <c r="A249" s="764"/>
      <c r="B249" s="151"/>
      <c r="C249" s="135"/>
      <c r="D249" s="135" t="s">
        <v>6259</v>
      </c>
      <c r="E249" s="135"/>
      <c r="F249" s="136">
        <f>(54.6)*1.1</f>
        <v>60.060000000000009</v>
      </c>
      <c r="G249" s="2260"/>
      <c r="H249" s="3807"/>
      <c r="I249" s="3839"/>
      <c r="J249" s="153"/>
      <c r="P249" s="421"/>
    </row>
    <row r="250" spans="1:122" s="187" customFormat="1" ht="27" customHeight="1">
      <c r="A250" s="1995"/>
      <c r="B250" s="135"/>
      <c r="C250" s="135"/>
      <c r="D250" s="163" t="s">
        <v>6243</v>
      </c>
      <c r="E250" s="135"/>
      <c r="F250" s="2333"/>
      <c r="G250" s="2260"/>
      <c r="H250" s="3807"/>
      <c r="I250" s="3839"/>
      <c r="J250" s="2262"/>
      <c r="K250" s="2263"/>
      <c r="P250" s="421"/>
      <c r="S250" s="4817"/>
    </row>
    <row r="251" spans="1:122" s="187" customFormat="1" ht="13.5" customHeight="1">
      <c r="A251" s="2251">
        <v>48</v>
      </c>
      <c r="B251" s="151">
        <v>721</v>
      </c>
      <c r="C251" s="151">
        <v>721174043</v>
      </c>
      <c r="D251" s="151" t="s">
        <v>6260</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6258</v>
      </c>
      <c r="E252" s="135"/>
      <c r="F252" s="2332"/>
      <c r="G252" s="2260"/>
      <c r="H252" s="3807"/>
      <c r="I252" s="3839"/>
      <c r="J252" s="2261"/>
      <c r="P252" s="421"/>
      <c r="S252" s="4817"/>
    </row>
    <row r="253" spans="1:122" s="187" customFormat="1" ht="13.5" customHeight="1">
      <c r="A253" s="764"/>
      <c r="B253" s="151"/>
      <c r="C253" s="135"/>
      <c r="D253" s="135" t="s">
        <v>6261</v>
      </c>
      <c r="E253" s="135"/>
      <c r="F253" s="136">
        <f>(42.3)*1.1</f>
        <v>46.53</v>
      </c>
      <c r="G253" s="2260"/>
      <c r="H253" s="3807"/>
      <c r="I253" s="3839"/>
      <c r="J253" s="153"/>
      <c r="P253" s="421"/>
    </row>
    <row r="254" spans="1:122" s="187" customFormat="1" ht="27" customHeight="1">
      <c r="A254" s="1995"/>
      <c r="B254" s="135"/>
      <c r="C254" s="135"/>
      <c r="D254" s="163" t="s">
        <v>6243</v>
      </c>
      <c r="E254" s="135"/>
      <c r="F254" s="2333"/>
      <c r="G254" s="2260"/>
      <c r="H254" s="3807"/>
      <c r="I254" s="3839"/>
      <c r="J254" s="2262"/>
      <c r="K254" s="2263"/>
      <c r="P254" s="421"/>
      <c r="S254" s="4817"/>
    </row>
    <row r="255" spans="1:122" s="187" customFormat="1" ht="13.5" customHeight="1">
      <c r="A255" s="2251">
        <v>49</v>
      </c>
      <c r="B255" s="151">
        <v>721</v>
      </c>
      <c r="C255" s="151">
        <v>721174044</v>
      </c>
      <c r="D255" s="151" t="s">
        <v>6262</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6258</v>
      </c>
      <c r="E256" s="135"/>
      <c r="F256" s="2332"/>
      <c r="G256" s="2260"/>
      <c r="H256" s="3807"/>
      <c r="I256" s="3839"/>
      <c r="J256" s="2261"/>
      <c r="P256" s="421"/>
      <c r="S256" s="4817"/>
    </row>
    <row r="257" spans="1:19" s="187" customFormat="1" ht="13.5" customHeight="1">
      <c r="A257" s="764"/>
      <c r="B257" s="151"/>
      <c r="C257" s="135"/>
      <c r="D257" s="135" t="s">
        <v>6263</v>
      </c>
      <c r="E257" s="135"/>
      <c r="F257" s="136">
        <f>(4.6)*1.1</f>
        <v>5.0599999999999996</v>
      </c>
      <c r="G257" s="2260"/>
      <c r="H257" s="3807"/>
      <c r="I257" s="3839"/>
      <c r="J257" s="153"/>
      <c r="P257" s="421"/>
    </row>
    <row r="258" spans="1:19" s="187" customFormat="1" ht="27" customHeight="1">
      <c r="A258" s="1995"/>
      <c r="B258" s="135"/>
      <c r="C258" s="135"/>
      <c r="D258" s="163" t="s">
        <v>6243</v>
      </c>
      <c r="E258" s="135"/>
      <c r="F258" s="2333"/>
      <c r="G258" s="2260"/>
      <c r="H258" s="3807"/>
      <c r="I258" s="3839"/>
      <c r="J258" s="2262"/>
      <c r="K258" s="2263"/>
      <c r="P258" s="421"/>
      <c r="S258" s="4817"/>
    </row>
    <row r="259" spans="1:19" s="187" customFormat="1" ht="13.5" customHeight="1">
      <c r="A259" s="2251">
        <v>50</v>
      </c>
      <c r="B259" s="151">
        <v>721</v>
      </c>
      <c r="C259" s="151">
        <v>721174045</v>
      </c>
      <c r="D259" s="151" t="s">
        <v>6264</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6258</v>
      </c>
      <c r="E260" s="135"/>
      <c r="F260" s="2332"/>
      <c r="G260" s="2260"/>
      <c r="H260" s="3807"/>
      <c r="I260" s="3839"/>
      <c r="J260" s="2261"/>
      <c r="P260" s="421"/>
      <c r="S260" s="4817"/>
    </row>
    <row r="261" spans="1:19" s="187" customFormat="1" ht="13.5" customHeight="1">
      <c r="A261" s="764"/>
      <c r="B261" s="151"/>
      <c r="C261" s="135"/>
      <c r="D261" s="135" t="s">
        <v>6265</v>
      </c>
      <c r="E261" s="135"/>
      <c r="F261" s="136">
        <f>(38.3)*1.1</f>
        <v>42.13</v>
      </c>
      <c r="G261" s="2260"/>
      <c r="H261" s="3807"/>
      <c r="I261" s="3839"/>
      <c r="J261" s="153"/>
      <c r="P261" s="421"/>
    </row>
    <row r="262" spans="1:19" s="187" customFormat="1" ht="27" customHeight="1">
      <c r="A262" s="1995"/>
      <c r="B262" s="135"/>
      <c r="C262" s="135"/>
      <c r="D262" s="163" t="s">
        <v>6243</v>
      </c>
      <c r="E262" s="135"/>
      <c r="F262" s="2333"/>
      <c r="G262" s="2260"/>
      <c r="H262" s="3807"/>
      <c r="I262" s="3839"/>
      <c r="J262" s="2262"/>
      <c r="K262" s="2263"/>
      <c r="P262" s="421"/>
      <c r="S262" s="4817"/>
    </row>
    <row r="263" spans="1:19" s="187" customFormat="1" ht="13.5" customHeight="1">
      <c r="A263" s="2251">
        <v>51</v>
      </c>
      <c r="B263" s="151">
        <v>721</v>
      </c>
      <c r="C263" s="151">
        <v>721175211</v>
      </c>
      <c r="D263" s="151" t="s">
        <v>6266</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6267</v>
      </c>
      <c r="E264" s="135"/>
      <c r="F264" s="2332"/>
      <c r="G264" s="2260"/>
      <c r="H264" s="3807"/>
      <c r="I264" s="3839"/>
      <c r="J264" s="2261"/>
      <c r="K264" s="2264"/>
      <c r="S264" s="4817"/>
    </row>
    <row r="265" spans="1:19" s="187" customFormat="1" ht="13.5" customHeight="1">
      <c r="A265" s="1995"/>
      <c r="B265" s="135"/>
      <c r="C265" s="135"/>
      <c r="D265" s="135" t="s">
        <v>6268</v>
      </c>
      <c r="E265" s="135"/>
      <c r="F265" s="136">
        <f>(240.6)*1.1</f>
        <v>264.66000000000003</v>
      </c>
      <c r="G265" s="2260"/>
      <c r="H265" s="3807"/>
      <c r="I265" s="3839"/>
      <c r="J265" s="153"/>
      <c r="K265" s="2265"/>
      <c r="S265" s="4817"/>
    </row>
    <row r="266" spans="1:19" s="187" customFormat="1" ht="27" customHeight="1">
      <c r="A266" s="1995"/>
      <c r="B266" s="135"/>
      <c r="C266" s="135"/>
      <c r="D266" s="163" t="s">
        <v>6243</v>
      </c>
      <c r="E266" s="135"/>
      <c r="F266" s="2333"/>
      <c r="G266" s="2260"/>
      <c r="H266" s="3807"/>
      <c r="I266" s="3839"/>
      <c r="J266" s="2262"/>
      <c r="K266" s="2263"/>
      <c r="S266" s="4817"/>
    </row>
    <row r="267" spans="1:19" s="187" customFormat="1" ht="13.5" customHeight="1">
      <c r="A267" s="2251">
        <v>52</v>
      </c>
      <c r="B267" s="151">
        <v>721</v>
      </c>
      <c r="C267" s="151">
        <v>721175212</v>
      </c>
      <c r="D267" s="151" t="s">
        <v>6269</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6267</v>
      </c>
      <c r="E268" s="135"/>
      <c r="F268" s="2332"/>
      <c r="G268" s="2260"/>
      <c r="H268" s="3807"/>
      <c r="I268" s="3839"/>
      <c r="J268" s="2261"/>
      <c r="K268" s="2264"/>
      <c r="S268" s="4817"/>
    </row>
    <row r="269" spans="1:19" s="187" customFormat="1" ht="13.5" customHeight="1">
      <c r="A269" s="1995"/>
      <c r="B269" s="135"/>
      <c r="C269" s="135"/>
      <c r="D269" s="135" t="s">
        <v>6270</v>
      </c>
      <c r="E269" s="135"/>
      <c r="F269" s="136">
        <f>(265.5+16.1)*1.1</f>
        <v>309.76000000000005</v>
      </c>
      <c r="G269" s="2260"/>
      <c r="H269" s="3807"/>
      <c r="I269" s="3839"/>
      <c r="J269" s="153"/>
      <c r="K269" s="2265"/>
      <c r="S269" s="4817"/>
    </row>
    <row r="270" spans="1:19" s="187" customFormat="1" ht="13.5" customHeight="1">
      <c r="A270" s="1995"/>
      <c r="B270" s="135"/>
      <c r="C270" s="135"/>
      <c r="D270" s="135" t="s">
        <v>6271</v>
      </c>
      <c r="E270" s="135"/>
      <c r="F270" s="136">
        <f>-(11.2+8.9)*1.1</f>
        <v>-22.110000000000003</v>
      </c>
      <c r="G270" s="2260"/>
      <c r="H270" s="3807"/>
      <c r="I270" s="3839"/>
      <c r="J270" s="153"/>
      <c r="K270" s="2265"/>
      <c r="S270" s="4817"/>
    </row>
    <row r="271" spans="1:19" s="187" customFormat="1" ht="27" customHeight="1">
      <c r="A271" s="1995"/>
      <c r="B271" s="135"/>
      <c r="C271" s="135"/>
      <c r="D271" s="163" t="s">
        <v>6243</v>
      </c>
      <c r="E271" s="135"/>
      <c r="F271" s="2333"/>
      <c r="G271" s="2260"/>
      <c r="H271" s="3807"/>
      <c r="I271" s="3839"/>
      <c r="J271" s="2262"/>
      <c r="K271" s="2263"/>
      <c r="S271" s="4817"/>
    </row>
    <row r="272" spans="1:19" s="187" customFormat="1" ht="13.5" customHeight="1">
      <c r="A272" s="2251">
        <v>53</v>
      </c>
      <c r="B272" s="151">
        <v>721</v>
      </c>
      <c r="C272" s="151">
        <v>721175213</v>
      </c>
      <c r="D272" s="151" t="s">
        <v>6272</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6267</v>
      </c>
      <c r="E273" s="135"/>
      <c r="F273" s="2332"/>
      <c r="G273" s="2260"/>
      <c r="H273" s="3807"/>
      <c r="I273" s="3839"/>
      <c r="J273" s="2261"/>
      <c r="K273" s="2264"/>
      <c r="S273" s="4817"/>
    </row>
    <row r="274" spans="1:23" s="187" customFormat="1" ht="13.5" customHeight="1">
      <c r="A274" s="1995"/>
      <c r="B274" s="135"/>
      <c r="C274" s="135"/>
      <c r="D274" s="135" t="s">
        <v>6273</v>
      </c>
      <c r="E274" s="135"/>
      <c r="F274" s="136">
        <f>(102.8+97.9)*1.1</f>
        <v>220.77</v>
      </c>
      <c r="G274" s="2260"/>
      <c r="H274" s="3807"/>
      <c r="I274" s="3839"/>
      <c r="J274" s="153"/>
      <c r="K274" s="2265"/>
      <c r="S274" s="4817"/>
    </row>
    <row r="275" spans="1:23" s="187" customFormat="1" ht="13.5" customHeight="1">
      <c r="A275" s="1995"/>
      <c r="B275" s="135"/>
      <c r="C275" s="135"/>
      <c r="D275" s="135" t="s">
        <v>6274</v>
      </c>
      <c r="E275" s="135"/>
      <c r="F275" s="136">
        <f>-(110.5+19)*1.1</f>
        <v>-142.45000000000002</v>
      </c>
      <c r="G275" s="2260"/>
      <c r="H275" s="3807"/>
      <c r="I275" s="3839"/>
      <c r="J275" s="153"/>
      <c r="K275" s="2265"/>
      <c r="S275" s="4817"/>
    </row>
    <row r="276" spans="1:23" s="187" customFormat="1" ht="27" customHeight="1">
      <c r="A276" s="1995"/>
      <c r="B276" s="135"/>
      <c r="C276" s="135"/>
      <c r="D276" s="163" t="s">
        <v>6243</v>
      </c>
      <c r="E276" s="135"/>
      <c r="F276" s="2333"/>
      <c r="G276" s="2260"/>
      <c r="H276" s="3807"/>
      <c r="I276" s="3839"/>
      <c r="J276" s="2262"/>
      <c r="K276" s="2263"/>
      <c r="S276" s="4817"/>
    </row>
    <row r="277" spans="1:23" s="187" customFormat="1" ht="13.5" customHeight="1">
      <c r="A277" s="2251">
        <v>54</v>
      </c>
      <c r="B277" s="151">
        <v>721</v>
      </c>
      <c r="C277" s="151">
        <v>721175214</v>
      </c>
      <c r="D277" s="151" t="s">
        <v>6275</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6267</v>
      </c>
      <c r="E278" s="135"/>
      <c r="F278" s="2332"/>
      <c r="G278" s="2260"/>
      <c r="H278" s="3807"/>
      <c r="I278" s="3839"/>
      <c r="J278" s="2261"/>
      <c r="K278" s="2264"/>
      <c r="S278" s="4817"/>
    </row>
    <row r="279" spans="1:23" s="187" customFormat="1" ht="13.5" customHeight="1">
      <c r="A279" s="1995"/>
      <c r="B279" s="135"/>
      <c r="C279" s="135"/>
      <c r="D279" s="135" t="s">
        <v>6276</v>
      </c>
      <c r="E279" s="135"/>
      <c r="F279" s="136">
        <f>(16.7+45.3)*1.1</f>
        <v>68.2</v>
      </c>
      <c r="G279" s="2260"/>
      <c r="H279" s="3807"/>
      <c r="I279" s="3839"/>
      <c r="J279" s="153"/>
      <c r="K279" s="2265"/>
      <c r="S279" s="4817"/>
    </row>
    <row r="280" spans="1:23" s="187" customFormat="1" ht="13.5" customHeight="1">
      <c r="A280" s="1995"/>
      <c r="B280" s="135"/>
      <c r="C280" s="135"/>
      <c r="D280" s="135" t="s">
        <v>6277</v>
      </c>
      <c r="E280" s="135"/>
      <c r="F280" s="136">
        <f>-(33.4)*1.1</f>
        <v>-36.74</v>
      </c>
      <c r="G280" s="2260"/>
      <c r="H280" s="3807"/>
      <c r="I280" s="3839"/>
      <c r="J280" s="153"/>
      <c r="K280" s="2265"/>
      <c r="S280" s="4817"/>
    </row>
    <row r="281" spans="1:23" s="187" customFormat="1" ht="27" customHeight="1">
      <c r="A281" s="1995"/>
      <c r="B281" s="135"/>
      <c r="C281" s="135"/>
      <c r="D281" s="163" t="s">
        <v>6243</v>
      </c>
      <c r="E281" s="135"/>
      <c r="F281" s="2333"/>
      <c r="G281" s="2260"/>
      <c r="H281" s="3807"/>
      <c r="I281" s="3839"/>
      <c r="J281" s="2262"/>
      <c r="K281" s="2263"/>
      <c r="S281" s="4817"/>
    </row>
    <row r="282" spans="1:23" s="187" customFormat="1" ht="13.5" customHeight="1">
      <c r="A282" s="2251">
        <v>55</v>
      </c>
      <c r="B282" s="151">
        <v>721</v>
      </c>
      <c r="C282" s="151">
        <v>721175232</v>
      </c>
      <c r="D282" s="151" t="s">
        <v>6278</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6279</v>
      </c>
      <c r="E283" s="135"/>
      <c r="F283" s="2332"/>
      <c r="G283" s="2260"/>
      <c r="H283" s="3807"/>
      <c r="I283" s="3839"/>
      <c r="J283" s="2261"/>
      <c r="K283" s="2264"/>
      <c r="S283" s="4817"/>
    </row>
    <row r="284" spans="1:23" s="187" customFormat="1" ht="13.5" customHeight="1">
      <c r="A284" s="1995"/>
      <c r="B284" s="135"/>
      <c r="C284" s="135"/>
      <c r="D284" s="135" t="s">
        <v>6280</v>
      </c>
      <c r="E284" s="135"/>
      <c r="F284" s="136">
        <f>(11.2)*1.1</f>
        <v>12.32</v>
      </c>
      <c r="G284" s="2260"/>
      <c r="H284" s="3807"/>
      <c r="I284" s="3839"/>
      <c r="J284" s="153"/>
      <c r="K284" s="2265"/>
      <c r="S284" s="4817"/>
    </row>
    <row r="285" spans="1:23" s="187" customFormat="1" ht="27" customHeight="1">
      <c r="A285" s="1995"/>
      <c r="B285" s="135"/>
      <c r="C285" s="135"/>
      <c r="D285" s="163" t="s">
        <v>6243</v>
      </c>
      <c r="E285" s="135"/>
      <c r="F285" s="2333"/>
      <c r="G285" s="2260"/>
      <c r="H285" s="3807"/>
      <c r="I285" s="3839"/>
      <c r="J285" s="2262"/>
      <c r="K285" s="2263"/>
      <c r="S285" s="4817"/>
    </row>
    <row r="286" spans="1:23" s="187" customFormat="1" ht="13.5" customHeight="1">
      <c r="A286" s="2251">
        <v>56</v>
      </c>
      <c r="B286" s="151">
        <v>721</v>
      </c>
      <c r="C286" s="151" t="s">
        <v>6281</v>
      </c>
      <c r="D286" s="151" t="s">
        <v>6282</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6283</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6284</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6285</v>
      </c>
      <c r="B289" s="223"/>
      <c r="C289" s="228">
        <v>721175232</v>
      </c>
      <c r="D289" s="135" t="s">
        <v>6286</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6287</v>
      </c>
      <c r="B290" s="223"/>
      <c r="C290" s="228">
        <v>713463131</v>
      </c>
      <c r="D290" s="135" t="s">
        <v>6288</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6289</v>
      </c>
      <c r="B291" s="2273"/>
      <c r="C291" s="2274" t="s">
        <v>6290</v>
      </c>
      <c r="D291" s="146" t="s">
        <v>6291</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6292</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6243</v>
      </c>
      <c r="E293" s="135"/>
      <c r="F293" s="2333"/>
      <c r="G293" s="2260"/>
      <c r="H293" s="3807"/>
      <c r="I293" s="3839"/>
      <c r="J293" s="2262"/>
      <c r="K293" s="2263"/>
      <c r="S293" s="4817"/>
    </row>
    <row r="294" spans="1:31" s="187" customFormat="1" ht="13.5" customHeight="1">
      <c r="A294" s="2251">
        <v>57</v>
      </c>
      <c r="B294" s="151">
        <v>721</v>
      </c>
      <c r="C294" s="151">
        <v>721175233</v>
      </c>
      <c r="D294" s="151" t="s">
        <v>6293</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6279</v>
      </c>
      <c r="E295" s="135"/>
      <c r="F295" s="2332"/>
      <c r="G295" s="2260"/>
      <c r="H295" s="3807"/>
      <c r="I295" s="3839"/>
      <c r="J295" s="2261"/>
      <c r="K295" s="2264"/>
      <c r="S295" s="4817"/>
    </row>
    <row r="296" spans="1:31" s="187" customFormat="1" ht="13.5" customHeight="1">
      <c r="A296" s="1995"/>
      <c r="B296" s="135"/>
      <c r="C296" s="135"/>
      <c r="D296" s="135" t="s">
        <v>6294</v>
      </c>
      <c r="E296" s="135"/>
      <c r="F296" s="136">
        <f>(110.5)*1.1</f>
        <v>121.55000000000001</v>
      </c>
      <c r="G296" s="2260"/>
      <c r="H296" s="3807"/>
      <c r="I296" s="3839"/>
      <c r="J296" s="153"/>
      <c r="K296" s="2265"/>
      <c r="S296" s="4817"/>
    </row>
    <row r="297" spans="1:31" s="187" customFormat="1" ht="27" customHeight="1">
      <c r="A297" s="1995"/>
      <c r="B297" s="135"/>
      <c r="C297" s="135"/>
      <c r="D297" s="163" t="s">
        <v>6243</v>
      </c>
      <c r="E297" s="135"/>
      <c r="F297" s="2333"/>
      <c r="G297" s="2260"/>
      <c r="H297" s="3807"/>
      <c r="I297" s="3839"/>
      <c r="J297" s="2262"/>
      <c r="K297" s="2263"/>
      <c r="S297" s="4817"/>
    </row>
    <row r="298" spans="1:31" s="187" customFormat="1" ht="13.5" customHeight="1">
      <c r="A298" s="2251">
        <v>58</v>
      </c>
      <c r="B298" s="151">
        <v>721</v>
      </c>
      <c r="C298" s="151" t="s">
        <v>6295</v>
      </c>
      <c r="D298" s="151" t="s">
        <v>6296</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6283</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6284</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6297</v>
      </c>
      <c r="B301" s="223"/>
      <c r="C301" s="228">
        <v>721175233</v>
      </c>
      <c r="D301" s="135" t="s">
        <v>11590</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6298</v>
      </c>
      <c r="B302" s="223"/>
      <c r="C302" s="228">
        <v>713463131</v>
      </c>
      <c r="D302" s="135" t="s">
        <v>6299</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6300</v>
      </c>
      <c r="B303" s="2273"/>
      <c r="C303" s="2274" t="s">
        <v>6301</v>
      </c>
      <c r="D303" s="146" t="s">
        <v>6302</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6303</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6243</v>
      </c>
      <c r="E305" s="135"/>
      <c r="F305" s="2333"/>
      <c r="G305" s="2260"/>
      <c r="H305" s="3807"/>
      <c r="I305" s="3839"/>
      <c r="J305" s="2262"/>
      <c r="K305" s="2263"/>
      <c r="S305" s="4817"/>
    </row>
    <row r="306" spans="1:257" s="187" customFormat="1" ht="13.5" customHeight="1">
      <c r="A306" s="2251">
        <v>59</v>
      </c>
      <c r="B306" s="151">
        <v>721</v>
      </c>
      <c r="C306" s="151">
        <v>721175234</v>
      </c>
      <c r="D306" s="151" t="s">
        <v>6304</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6279</v>
      </c>
      <c r="E307" s="135"/>
      <c r="F307" s="2332"/>
      <c r="G307" s="2260"/>
      <c r="H307" s="3807"/>
      <c r="I307" s="3839"/>
      <c r="J307" s="2261"/>
      <c r="K307" s="2264"/>
      <c r="S307" s="4817"/>
    </row>
    <row r="308" spans="1:257" s="187" customFormat="1" ht="13.5" customHeight="1">
      <c r="A308" s="1995"/>
      <c r="B308" s="135"/>
      <c r="C308" s="135"/>
      <c r="D308" s="135" t="s">
        <v>6305</v>
      </c>
      <c r="E308" s="135"/>
      <c r="F308" s="136">
        <f>(33.4)*1.1</f>
        <v>36.74</v>
      </c>
      <c r="G308" s="2260"/>
      <c r="H308" s="3807"/>
      <c r="I308" s="3839"/>
      <c r="J308" s="153"/>
      <c r="K308" s="2265"/>
      <c r="S308" s="4817"/>
    </row>
    <row r="309" spans="1:257" s="187" customFormat="1" ht="27" customHeight="1">
      <c r="A309" s="1995"/>
      <c r="B309" s="135"/>
      <c r="C309" s="135"/>
      <c r="D309" s="163" t="s">
        <v>6243</v>
      </c>
      <c r="E309" s="135"/>
      <c r="F309" s="2333"/>
      <c r="G309" s="2260"/>
      <c r="H309" s="3807"/>
      <c r="I309" s="3839"/>
      <c r="J309" s="2262"/>
      <c r="K309" s="2263"/>
      <c r="S309" s="4817"/>
    </row>
    <row r="310" spans="1:257" s="2276" customFormat="1" ht="13.5" customHeight="1">
      <c r="A310" s="2251">
        <v>60</v>
      </c>
      <c r="B310" s="151">
        <v>721</v>
      </c>
      <c r="C310" s="151" t="s">
        <v>6306</v>
      </c>
      <c r="D310" s="151" t="s">
        <v>6307</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6308</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6309</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6310</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6311</v>
      </c>
      <c r="D315" s="151" t="s">
        <v>6312</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6308</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6313</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6243</v>
      </c>
      <c r="E318" s="2278"/>
      <c r="F318" s="2280"/>
      <c r="G318" s="2279"/>
      <c r="H318" s="3810"/>
      <c r="I318" s="3842"/>
      <c r="J318" s="2261"/>
    </row>
    <row r="319" spans="1:257" s="2276" customFormat="1" ht="27" customHeight="1">
      <c r="A319" s="2251">
        <v>62</v>
      </c>
      <c r="B319" s="151">
        <v>721</v>
      </c>
      <c r="C319" s="151" t="s">
        <v>6314</v>
      </c>
      <c r="D319" s="151" t="s">
        <v>6315</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6316</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6317</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6243</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6318</v>
      </c>
      <c r="D323" s="151" t="s">
        <v>6319</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6320</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6321</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6322</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6323</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6324</v>
      </c>
      <c r="D328" s="151" t="s">
        <v>6325</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6320</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6321</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6326</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6323</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6327</v>
      </c>
      <c r="D333" s="151" t="s">
        <v>6328</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6329</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6330</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6331</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6323</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6332</v>
      </c>
      <c r="D338" s="151" t="s">
        <v>6333</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6334</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6335</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6336</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6337</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6338</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6339</v>
      </c>
      <c r="D344" s="151" t="s">
        <v>6340</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6341</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6335</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6342</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6337</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6338</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6343</v>
      </c>
      <c r="D350" s="151" t="s">
        <v>6344</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6334</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6345</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6346</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6337</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6338</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6347</v>
      </c>
      <c r="D356" s="151" t="s">
        <v>6348</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6349</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6335</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6350</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6351</v>
      </c>
      <c r="D360" s="151" t="s">
        <v>6352</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6353</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6354</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6335</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6337</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6355</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6356</v>
      </c>
      <c r="D366" s="151" t="s">
        <v>6357</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6358</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6359</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6360</v>
      </c>
      <c r="D369" s="151" t="s">
        <v>6361</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6362</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6363</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6350</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6364</v>
      </c>
      <c r="D373" s="151" t="s">
        <v>6365</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6362</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6366</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6350</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6367</v>
      </c>
      <c r="D377" s="151" t="s">
        <v>6368</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6362</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6369</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6350</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6367</v>
      </c>
      <c r="D381" s="151" t="s">
        <v>6370</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6362</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6363</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6350</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6371</v>
      </c>
      <c r="D385" s="151" t="s">
        <v>6372</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6373</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6374</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6375</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6376</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6377</v>
      </c>
      <c r="D390" s="151" t="s">
        <v>6378</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6379</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6380</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6381</v>
      </c>
      <c r="E393" s="2037"/>
      <c r="F393" s="136"/>
      <c r="G393" s="2039"/>
      <c r="H393" s="3813"/>
      <c r="I393" s="3845"/>
      <c r="J393" s="2340"/>
    </row>
    <row r="394" spans="1:41" s="2290" customFormat="1" ht="37.5" customHeight="1">
      <c r="A394" s="2329"/>
      <c r="B394" s="2329"/>
      <c r="C394" s="193"/>
      <c r="D394" s="193" t="s">
        <v>6382</v>
      </c>
      <c r="E394" s="193"/>
      <c r="F394" s="136"/>
      <c r="G394" s="2292"/>
      <c r="H394" s="3814"/>
      <c r="I394" s="3846"/>
      <c r="J394" s="2341"/>
      <c r="K394" s="4845"/>
    </row>
    <row r="395" spans="1:41" s="187" customFormat="1" ht="13.5" customHeight="1">
      <c r="A395" s="764">
        <v>78</v>
      </c>
      <c r="B395" s="151">
        <v>721</v>
      </c>
      <c r="C395" s="151">
        <v>721290111</v>
      </c>
      <c r="D395" s="151" t="s">
        <v>6383</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6384</v>
      </c>
      <c r="E396" s="151"/>
      <c r="F396" s="210"/>
      <c r="G396" s="362"/>
      <c r="H396" s="3790"/>
      <c r="I396" s="3822"/>
      <c r="J396" s="153"/>
      <c r="K396" s="2293"/>
      <c r="S396" s="4817"/>
    </row>
    <row r="397" spans="1:41" s="187" customFormat="1" ht="13.5" customHeight="1">
      <c r="A397" s="764"/>
      <c r="B397" s="151"/>
      <c r="C397" s="151"/>
      <c r="D397" s="135" t="s">
        <v>6385</v>
      </c>
      <c r="E397" s="151"/>
      <c r="F397" s="210"/>
      <c r="G397" s="362"/>
      <c r="H397" s="3790"/>
      <c r="I397" s="3822"/>
      <c r="J397" s="153"/>
      <c r="K397" s="2293"/>
      <c r="S397" s="4817"/>
    </row>
    <row r="398" spans="1:41" s="187" customFormat="1" ht="13.5" customHeight="1">
      <c r="A398" s="764"/>
      <c r="B398" s="151"/>
      <c r="C398" s="151"/>
      <c r="D398" s="135" t="s">
        <v>6386</v>
      </c>
      <c r="E398" s="2278"/>
      <c r="F398" s="136">
        <f>(196.4+10)</f>
        <v>206.4</v>
      </c>
      <c r="G398" s="362"/>
      <c r="H398" s="3790"/>
      <c r="I398" s="3822"/>
      <c r="J398" s="153"/>
      <c r="K398" s="2294"/>
      <c r="M398" s="1967"/>
      <c r="S398" s="4817"/>
    </row>
    <row r="399" spans="1:41" s="187" customFormat="1" ht="13.5" customHeight="1">
      <c r="A399" s="764"/>
      <c r="B399" s="151"/>
      <c r="C399" s="151"/>
      <c r="D399" s="135" t="s">
        <v>6387</v>
      </c>
      <c r="E399" s="2278"/>
      <c r="F399" s="136">
        <f>(31.8)</f>
        <v>31.8</v>
      </c>
      <c r="G399" s="362"/>
      <c r="H399" s="3790"/>
      <c r="I399" s="3822"/>
      <c r="J399" s="153"/>
      <c r="K399" s="2294"/>
      <c r="S399" s="4817"/>
    </row>
    <row r="400" spans="1:41" s="187" customFormat="1" ht="13.5" customHeight="1">
      <c r="A400" s="764"/>
      <c r="B400" s="151"/>
      <c r="C400" s="151"/>
      <c r="D400" s="135" t="s">
        <v>6388</v>
      </c>
      <c r="E400" s="151"/>
      <c r="F400" s="210"/>
      <c r="G400" s="362"/>
      <c r="H400" s="3790"/>
      <c r="I400" s="3822"/>
      <c r="J400" s="153"/>
      <c r="K400" s="2293"/>
      <c r="S400" s="4817"/>
    </row>
    <row r="401" spans="1:19" s="187" customFormat="1" ht="13.5" customHeight="1">
      <c r="A401" s="764"/>
      <c r="B401" s="151"/>
      <c r="C401" s="151"/>
      <c r="D401" s="135" t="s">
        <v>6389</v>
      </c>
      <c r="E401" s="2278"/>
      <c r="F401" s="136">
        <f>(15)</f>
        <v>15</v>
      </c>
      <c r="G401" s="362"/>
      <c r="H401" s="3790"/>
      <c r="I401" s="3822"/>
      <c r="J401" s="153"/>
      <c r="K401" s="2294"/>
      <c r="S401" s="4817"/>
    </row>
    <row r="402" spans="1:19" s="187" customFormat="1" ht="13.5" customHeight="1">
      <c r="A402" s="764"/>
      <c r="B402" s="151"/>
      <c r="C402" s="151"/>
      <c r="D402" s="135" t="s">
        <v>6390</v>
      </c>
      <c r="E402" s="151"/>
      <c r="F402" s="210"/>
      <c r="G402" s="362"/>
      <c r="H402" s="3790"/>
      <c r="I402" s="3822"/>
      <c r="J402" s="153"/>
      <c r="K402" s="2293"/>
      <c r="P402" s="4801"/>
      <c r="S402" s="4817"/>
    </row>
    <row r="403" spans="1:19" s="187" customFormat="1" ht="13.5" customHeight="1">
      <c r="A403" s="764"/>
      <c r="B403" s="151"/>
      <c r="C403" s="151"/>
      <c r="D403" s="135" t="s">
        <v>6391</v>
      </c>
      <c r="E403" s="2278"/>
      <c r="F403" s="136">
        <f>(44.2+12.7)</f>
        <v>56.900000000000006</v>
      </c>
      <c r="G403" s="362"/>
      <c r="H403" s="3790"/>
      <c r="I403" s="3822"/>
      <c r="J403" s="153"/>
      <c r="K403" s="2294"/>
      <c r="S403" s="4817"/>
    </row>
    <row r="404" spans="1:19" s="187" customFormat="1" ht="13.5" customHeight="1">
      <c r="A404" s="764"/>
      <c r="B404" s="151"/>
      <c r="C404" s="151"/>
      <c r="D404" s="135" t="s">
        <v>6392</v>
      </c>
      <c r="E404" s="2278"/>
      <c r="F404" s="136">
        <f>(26.4)</f>
        <v>26.4</v>
      </c>
      <c r="G404" s="362"/>
      <c r="H404" s="3790"/>
      <c r="I404" s="3822"/>
      <c r="J404" s="153"/>
      <c r="K404" s="2294"/>
      <c r="S404" s="4817"/>
    </row>
    <row r="405" spans="1:19" s="187" customFormat="1" ht="13.5" customHeight="1">
      <c r="A405" s="764"/>
      <c r="B405" s="151"/>
      <c r="C405" s="151"/>
      <c r="D405" s="135" t="s">
        <v>6393</v>
      </c>
      <c r="E405" s="151"/>
      <c r="F405" s="210"/>
      <c r="G405" s="362"/>
      <c r="H405" s="3790"/>
      <c r="I405" s="3822"/>
      <c r="J405" s="153"/>
      <c r="K405" s="2293"/>
      <c r="S405" s="4817"/>
    </row>
    <row r="406" spans="1:19" s="187" customFormat="1" ht="13.5" customHeight="1">
      <c r="A406" s="764"/>
      <c r="B406" s="151"/>
      <c r="C406" s="151"/>
      <c r="D406" s="135" t="s">
        <v>6394</v>
      </c>
      <c r="E406" s="2278"/>
      <c r="F406" s="136">
        <f>(54.6)</f>
        <v>54.6</v>
      </c>
      <c r="G406" s="362"/>
      <c r="H406" s="3790"/>
      <c r="I406" s="3822"/>
      <c r="J406" s="153"/>
      <c r="K406" s="2294"/>
      <c r="L406" s="2294"/>
      <c r="S406" s="4817"/>
    </row>
    <row r="407" spans="1:19" s="187" customFormat="1" ht="13.5" customHeight="1">
      <c r="A407" s="764"/>
      <c r="B407" s="151"/>
      <c r="C407" s="151"/>
      <c r="D407" s="135" t="s">
        <v>6395</v>
      </c>
      <c r="E407" s="2278"/>
      <c r="F407" s="136">
        <f>(42.3)</f>
        <v>42.3</v>
      </c>
      <c r="G407" s="362"/>
      <c r="H407" s="3790"/>
      <c r="I407" s="3822"/>
      <c r="J407" s="153"/>
      <c r="K407" s="2294"/>
      <c r="L407" s="2294"/>
      <c r="S407" s="4817"/>
    </row>
    <row r="408" spans="1:19" s="187" customFormat="1" ht="13.5" customHeight="1">
      <c r="A408" s="764"/>
      <c r="B408" s="151"/>
      <c r="C408" s="151"/>
      <c r="D408" s="135" t="s">
        <v>6396</v>
      </c>
      <c r="E408" s="2278"/>
      <c r="F408" s="136">
        <f>(4.6)</f>
        <v>4.5999999999999996</v>
      </c>
      <c r="G408" s="362"/>
      <c r="H408" s="3790"/>
      <c r="I408" s="3822"/>
      <c r="J408" s="153"/>
      <c r="K408" s="2295"/>
      <c r="L408" s="2295"/>
      <c r="S408" s="4817"/>
    </row>
    <row r="409" spans="1:19" s="187" customFormat="1" ht="13.5" customHeight="1">
      <c r="A409" s="764"/>
      <c r="B409" s="151"/>
      <c r="C409" s="151"/>
      <c r="D409" s="135" t="s">
        <v>6397</v>
      </c>
      <c r="E409" s="2278"/>
      <c r="F409" s="136">
        <f>(38.3)</f>
        <v>38.299999999999997</v>
      </c>
      <c r="G409" s="362"/>
      <c r="H409" s="3790"/>
      <c r="I409" s="3822"/>
      <c r="J409" s="153"/>
      <c r="K409" s="2294"/>
      <c r="S409" s="4817"/>
    </row>
    <row r="410" spans="1:19" s="187" customFormat="1" ht="13.5" customHeight="1">
      <c r="A410" s="764"/>
      <c r="B410" s="151"/>
      <c r="C410" s="151"/>
      <c r="D410" s="135" t="s">
        <v>6398</v>
      </c>
      <c r="E410" s="151"/>
      <c r="F410" s="210"/>
      <c r="G410" s="362"/>
      <c r="H410" s="3790"/>
      <c r="I410" s="3822"/>
      <c r="J410" s="153"/>
      <c r="K410" s="2293"/>
      <c r="S410" s="4817"/>
    </row>
    <row r="411" spans="1:19" s="187" customFormat="1" ht="13.5" customHeight="1">
      <c r="A411" s="764"/>
      <c r="B411" s="151"/>
      <c r="C411" s="151"/>
      <c r="D411" s="135" t="s">
        <v>6399</v>
      </c>
      <c r="E411" s="2278"/>
      <c r="F411" s="136">
        <f>(240.6)</f>
        <v>240.6</v>
      </c>
      <c r="G411" s="362"/>
      <c r="H411" s="3790"/>
      <c r="I411" s="3822"/>
      <c r="J411" s="153"/>
      <c r="K411" s="2295"/>
      <c r="L411" s="2295"/>
      <c r="S411" s="4817"/>
    </row>
    <row r="412" spans="1:19" s="187" customFormat="1" ht="13.5" customHeight="1">
      <c r="A412" s="764"/>
      <c r="B412" s="151"/>
      <c r="C412" s="151"/>
      <c r="D412" s="135" t="s">
        <v>6400</v>
      </c>
      <c r="E412" s="2278"/>
      <c r="F412" s="136">
        <f>(261.5)</f>
        <v>261.5</v>
      </c>
      <c r="G412" s="362"/>
      <c r="H412" s="3790"/>
      <c r="I412" s="3822"/>
      <c r="J412" s="153"/>
      <c r="K412" s="2294"/>
      <c r="S412" s="4817"/>
    </row>
    <row r="413" spans="1:19" s="187" customFormat="1" ht="13.5" customHeight="1">
      <c r="A413" s="764"/>
      <c r="B413" s="151"/>
      <c r="C413" s="151"/>
      <c r="D413" s="135" t="s">
        <v>6401</v>
      </c>
      <c r="E413" s="2278"/>
      <c r="F413" s="136">
        <f>(71.2)</f>
        <v>71.2</v>
      </c>
      <c r="G413" s="362"/>
      <c r="H413" s="3790"/>
      <c r="I413" s="3822"/>
      <c r="J413" s="153"/>
      <c r="K413" s="2294"/>
      <c r="S413" s="4817"/>
    </row>
    <row r="414" spans="1:19" s="187" customFormat="1" ht="13.5" customHeight="1">
      <c r="A414" s="764"/>
      <c r="B414" s="151"/>
      <c r="C414" s="151"/>
      <c r="D414" s="135" t="s">
        <v>6402</v>
      </c>
      <c r="E414" s="151"/>
      <c r="F414" s="210"/>
      <c r="G414" s="362"/>
      <c r="H414" s="3790"/>
      <c r="I414" s="3822"/>
      <c r="J414" s="153"/>
      <c r="K414" s="2293"/>
      <c r="S414" s="4817"/>
    </row>
    <row r="415" spans="1:19" s="187" customFormat="1" ht="13.5" customHeight="1">
      <c r="A415" s="764"/>
      <c r="B415" s="151"/>
      <c r="C415" s="151"/>
      <c r="D415" s="135" t="s">
        <v>6403</v>
      </c>
      <c r="E415" s="2278"/>
      <c r="F415" s="136">
        <f>(11.2+8.9)</f>
        <v>20.100000000000001</v>
      </c>
      <c r="G415" s="362"/>
      <c r="H415" s="3790"/>
      <c r="I415" s="3822"/>
      <c r="J415" s="153"/>
      <c r="K415" s="2294"/>
      <c r="S415" s="4817"/>
    </row>
    <row r="416" spans="1:19" s="187" customFormat="1" ht="13.5" customHeight="1">
      <c r="A416" s="764"/>
      <c r="B416" s="151"/>
      <c r="C416" s="151"/>
      <c r="D416" s="135" t="s">
        <v>6404</v>
      </c>
      <c r="E416" s="2278"/>
      <c r="F416" s="136">
        <f>(110.5+19)</f>
        <v>129.5</v>
      </c>
      <c r="G416" s="362"/>
      <c r="H416" s="3790"/>
      <c r="I416" s="3822"/>
      <c r="J416" s="153"/>
      <c r="K416" s="2294"/>
      <c r="S416" s="4817"/>
    </row>
    <row r="417" spans="1:41" s="187" customFormat="1" ht="13.5" customHeight="1">
      <c r="A417" s="764">
        <v>79</v>
      </c>
      <c r="B417" s="151">
        <v>721</v>
      </c>
      <c r="C417" s="151">
        <v>721290112</v>
      </c>
      <c r="D417" s="151" t="s">
        <v>6405</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6384</v>
      </c>
      <c r="E418" s="151"/>
      <c r="F418" s="210"/>
      <c r="G418" s="362"/>
      <c r="H418" s="3790"/>
      <c r="I418" s="3822"/>
      <c r="J418" s="153"/>
      <c r="K418" s="2293"/>
      <c r="S418" s="4817"/>
    </row>
    <row r="419" spans="1:41" s="187" customFormat="1" ht="13.5" customHeight="1">
      <c r="A419" s="764"/>
      <c r="B419" s="151"/>
      <c r="C419" s="151"/>
      <c r="D419" s="135" t="s">
        <v>6390</v>
      </c>
      <c r="E419" s="151"/>
      <c r="F419" s="210"/>
      <c r="G419" s="362"/>
      <c r="H419" s="3790"/>
      <c r="I419" s="3822"/>
      <c r="J419" s="153"/>
      <c r="K419" s="2293"/>
      <c r="S419" s="4817"/>
    </row>
    <row r="420" spans="1:41" s="187" customFormat="1" ht="13.5" customHeight="1">
      <c r="A420" s="764"/>
      <c r="B420" s="151"/>
      <c r="C420" s="151"/>
      <c r="D420" s="135" t="s">
        <v>6406</v>
      </c>
      <c r="E420" s="2278"/>
      <c r="F420" s="136">
        <f>(23.2)</f>
        <v>23.2</v>
      </c>
      <c r="G420" s="362"/>
      <c r="H420" s="3790"/>
      <c r="I420" s="3822"/>
      <c r="J420" s="153"/>
      <c r="K420" s="2264"/>
      <c r="L420" s="188"/>
      <c r="S420" s="4817"/>
    </row>
    <row r="421" spans="1:41" s="187" customFormat="1" ht="13.5" customHeight="1">
      <c r="A421" s="764"/>
      <c r="B421" s="151"/>
      <c r="C421" s="151"/>
      <c r="D421" s="135" t="s">
        <v>6407</v>
      </c>
      <c r="E421" s="2278"/>
      <c r="F421" s="136">
        <f>(29+11)</f>
        <v>40</v>
      </c>
      <c r="G421" s="362"/>
      <c r="H421" s="3790"/>
      <c r="I421" s="3822"/>
      <c r="J421" s="153"/>
      <c r="K421" s="2264"/>
      <c r="L421" s="188"/>
      <c r="S421" s="4817"/>
    </row>
    <row r="422" spans="1:41" s="187" customFormat="1" ht="13.5" customHeight="1">
      <c r="A422" s="764"/>
      <c r="B422" s="151"/>
      <c r="C422" s="151"/>
      <c r="D422" s="135" t="s">
        <v>6398</v>
      </c>
      <c r="E422" s="151"/>
      <c r="F422" s="210"/>
      <c r="G422" s="362"/>
      <c r="H422" s="3790"/>
      <c r="I422" s="3822"/>
      <c r="J422" s="153"/>
      <c r="K422" s="2293"/>
      <c r="S422" s="4817"/>
    </row>
    <row r="423" spans="1:41" s="187" customFormat="1" ht="13.5" customHeight="1">
      <c r="A423" s="764"/>
      <c r="B423" s="151"/>
      <c r="C423" s="151"/>
      <c r="D423" s="135" t="s">
        <v>6408</v>
      </c>
      <c r="E423" s="2278"/>
      <c r="F423" s="136">
        <f>(28.6)</f>
        <v>28.6</v>
      </c>
      <c r="G423" s="362"/>
      <c r="H423" s="3790"/>
      <c r="I423" s="3822"/>
      <c r="J423" s="153"/>
      <c r="K423" s="2264"/>
      <c r="L423" s="188"/>
      <c r="S423" s="4817"/>
    </row>
    <row r="424" spans="1:41" s="187" customFormat="1" ht="13.5" customHeight="1">
      <c r="A424" s="764"/>
      <c r="B424" s="151"/>
      <c r="C424" s="151"/>
      <c r="D424" s="135" t="s">
        <v>6402</v>
      </c>
      <c r="E424" s="151"/>
      <c r="F424" s="210"/>
      <c r="G424" s="362"/>
      <c r="H424" s="3790"/>
      <c r="I424" s="3822"/>
      <c r="J424" s="153"/>
      <c r="K424" s="2293"/>
      <c r="S424" s="4817"/>
    </row>
    <row r="425" spans="1:41" s="187" customFormat="1" ht="13.5" customHeight="1">
      <c r="A425" s="764"/>
      <c r="B425" s="151"/>
      <c r="C425" s="151"/>
      <c r="D425" s="135" t="s">
        <v>6409</v>
      </c>
      <c r="E425" s="2278"/>
      <c r="F425" s="136">
        <f>(33.4)</f>
        <v>33.4</v>
      </c>
      <c r="G425" s="362"/>
      <c r="H425" s="3790"/>
      <c r="I425" s="3822"/>
      <c r="J425" s="153"/>
      <c r="K425" s="2294"/>
      <c r="S425" s="4817"/>
    </row>
    <row r="426" spans="1:41" s="2276" customFormat="1" ht="13.5" customHeight="1">
      <c r="A426" s="764">
        <v>80</v>
      </c>
      <c r="B426" s="207" t="s">
        <v>1007</v>
      </c>
      <c r="C426" s="151" t="s">
        <v>6410</v>
      </c>
      <c r="D426" s="151" t="s">
        <v>6411</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6412</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6413</v>
      </c>
      <c r="B428" s="223"/>
      <c r="C428" s="228" t="s">
        <v>6414</v>
      </c>
      <c r="D428" s="135" t="s">
        <v>6415</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6416</v>
      </c>
      <c r="B429" s="223"/>
      <c r="C429" s="228" t="s">
        <v>6417</v>
      </c>
      <c r="D429" s="135" t="s">
        <v>6418</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6419</v>
      </c>
      <c r="B430" s="2273"/>
      <c r="C430" s="2274" t="s">
        <v>6420</v>
      </c>
      <c r="D430" s="146" t="s">
        <v>6421</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6422</v>
      </c>
      <c r="B431" s="223"/>
      <c r="C431" s="228" t="s">
        <v>6423</v>
      </c>
      <c r="D431" s="135" t="s">
        <v>6424</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6425</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6426</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6427</v>
      </c>
      <c r="D434" s="3734" t="s">
        <v>6428</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6412</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6429</v>
      </c>
      <c r="B436" s="4397"/>
      <c r="C436" s="4398" t="s">
        <v>6414</v>
      </c>
      <c r="D436" s="3739" t="s">
        <v>6415</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6430</v>
      </c>
      <c r="B437" s="4397"/>
      <c r="C437" s="4398" t="s">
        <v>6431</v>
      </c>
      <c r="D437" s="3739" t="s">
        <v>6432</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6433</v>
      </c>
      <c r="B438" s="4401"/>
      <c r="C438" s="4402" t="s">
        <v>6434</v>
      </c>
      <c r="D438" s="3746" t="s">
        <v>6435</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6436</v>
      </c>
      <c r="B439" s="4397"/>
      <c r="C439" s="4398" t="s">
        <v>6423</v>
      </c>
      <c r="D439" s="3739" t="s">
        <v>6437</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6438</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6426</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6439</v>
      </c>
      <c r="D442" s="3734" t="s">
        <v>6440</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6412</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6441</v>
      </c>
      <c r="B444" s="4397"/>
      <c r="C444" s="4398" t="s">
        <v>6442</v>
      </c>
      <c r="D444" s="3739" t="s">
        <v>6443</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6444</v>
      </c>
      <c r="B445" s="4397"/>
      <c r="C445" s="4398" t="s">
        <v>6445</v>
      </c>
      <c r="D445" s="3739" t="s">
        <v>6446</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6447</v>
      </c>
      <c r="B446" s="4401"/>
      <c r="C446" s="4402" t="s">
        <v>6448</v>
      </c>
      <c r="D446" s="3746" t="s">
        <v>6449</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6450</v>
      </c>
      <c r="B447" s="4397"/>
      <c r="C447" s="4398" t="s">
        <v>6423</v>
      </c>
      <c r="D447" s="3739" t="s">
        <v>6424</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6451</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6426</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6439</v>
      </c>
      <c r="D450" s="3734" t="s">
        <v>6452</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6453</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6454</v>
      </c>
      <c r="B452" s="4397"/>
      <c r="C452" s="4398">
        <v>763131911</v>
      </c>
      <c r="D452" s="3739" t="s">
        <v>6455</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6456</v>
      </c>
      <c r="B453" s="4397"/>
      <c r="C453" s="4398" t="s">
        <v>6457</v>
      </c>
      <c r="D453" s="3739" t="s">
        <v>6458</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6459</v>
      </c>
      <c r="B454" s="4401"/>
      <c r="C454" s="4402" t="s">
        <v>6420</v>
      </c>
      <c r="D454" s="3746" t="s">
        <v>6421</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6460</v>
      </c>
      <c r="B455" s="4397"/>
      <c r="C455" s="4398" t="s">
        <v>6423</v>
      </c>
      <c r="D455" s="3739" t="s">
        <v>6461</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6462</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6426</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6463</v>
      </c>
      <c r="D458" s="3734" t="s">
        <v>6464</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6465</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6466</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6467</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6468</v>
      </c>
      <c r="E462" s="3734"/>
      <c r="F462" s="4387"/>
      <c r="G462" s="4394"/>
      <c r="H462" s="4378"/>
      <c r="I462" s="4377"/>
      <c r="J462" s="3767"/>
      <c r="K462" s="4848"/>
    </row>
    <row r="463" spans="1:41" s="2276" customFormat="1" ht="27" customHeight="1">
      <c r="A463" s="3741">
        <v>85</v>
      </c>
      <c r="B463" s="4392">
        <v>721</v>
      </c>
      <c r="C463" s="3734" t="s">
        <v>6469</v>
      </c>
      <c r="D463" s="3734" t="s">
        <v>6470</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6471</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6472</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6468</v>
      </c>
      <c r="E466" s="3734"/>
      <c r="F466" s="4387"/>
      <c r="G466" s="4394"/>
      <c r="H466" s="4378"/>
      <c r="I466" s="4377"/>
      <c r="J466" s="3767"/>
      <c r="K466" s="4848"/>
    </row>
    <row r="467" spans="1:41" s="2276" customFormat="1" ht="27" customHeight="1">
      <c r="A467" s="3741">
        <v>86</v>
      </c>
      <c r="B467" s="4392">
        <v>721</v>
      </c>
      <c r="C467" s="3734" t="s">
        <v>6473</v>
      </c>
      <c r="D467" s="3734" t="s">
        <v>6474</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6475</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6476</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6468</v>
      </c>
      <c r="E470" s="3734"/>
      <c r="F470" s="4387"/>
      <c r="G470" s="4394"/>
      <c r="H470" s="4378"/>
      <c r="I470" s="4377"/>
      <c r="J470" s="3767"/>
      <c r="K470" s="4848"/>
    </row>
    <row r="471" spans="1:41" s="2276" customFormat="1" ht="27" customHeight="1">
      <c r="A471" s="3741">
        <v>87</v>
      </c>
      <c r="B471" s="4392">
        <v>721</v>
      </c>
      <c r="C471" s="3734" t="s">
        <v>6477</v>
      </c>
      <c r="D471" s="3734" t="s">
        <v>6478</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6479</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6480</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6468</v>
      </c>
      <c r="E474" s="3734"/>
      <c r="F474" s="4387"/>
      <c r="G474" s="4394"/>
      <c r="H474" s="4378"/>
      <c r="I474" s="4377"/>
      <c r="J474" s="3767"/>
      <c r="K474" s="4848"/>
    </row>
    <row r="475" spans="1:41" s="2276" customFormat="1" ht="27" customHeight="1">
      <c r="A475" s="3741">
        <v>88</v>
      </c>
      <c r="B475" s="4392">
        <v>721</v>
      </c>
      <c r="C475" s="3734" t="s">
        <v>6481</v>
      </c>
      <c r="D475" s="3734" t="s">
        <v>6482</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6483</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6484</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6468</v>
      </c>
      <c r="E478" s="3734"/>
      <c r="F478" s="4387"/>
      <c r="G478" s="4394"/>
      <c r="H478" s="4378"/>
      <c r="I478" s="4377"/>
      <c r="J478" s="3767"/>
      <c r="K478" s="4848"/>
    </row>
    <row r="479" spans="1:41" s="2276" customFormat="1" ht="13.5" customHeight="1">
      <c r="A479" s="3741">
        <v>89</v>
      </c>
      <c r="B479" s="4392">
        <v>721</v>
      </c>
      <c r="C479" s="3734" t="s">
        <v>6485</v>
      </c>
      <c r="D479" s="3734" t="s">
        <v>6486</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6487</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6488</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6468</v>
      </c>
      <c r="E482" s="3734"/>
      <c r="F482" s="4387"/>
      <c r="G482" s="4394"/>
      <c r="H482" s="4378"/>
      <c r="I482" s="4377"/>
      <c r="J482" s="3767"/>
      <c r="K482" s="4848"/>
    </row>
    <row r="483" spans="1:41" s="2276" customFormat="1" ht="13.5" customHeight="1">
      <c r="A483" s="3741">
        <v>90</v>
      </c>
      <c r="B483" s="4392">
        <v>721</v>
      </c>
      <c r="C483" s="3734" t="s">
        <v>6489</v>
      </c>
      <c r="D483" s="3734" t="s">
        <v>6490</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6491</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6491</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6468</v>
      </c>
      <c r="E486" s="3734"/>
      <c r="F486" s="4387"/>
      <c r="G486" s="4394"/>
      <c r="H486" s="4378"/>
      <c r="I486" s="4377"/>
      <c r="J486" s="3767"/>
      <c r="K486" s="4848"/>
    </row>
    <row r="487" spans="1:41" s="2276" customFormat="1" ht="13.5" customHeight="1">
      <c r="A487" s="3741">
        <v>91</v>
      </c>
      <c r="B487" s="4392">
        <v>721</v>
      </c>
      <c r="C487" s="3734" t="s">
        <v>6492</v>
      </c>
      <c r="D487" s="3734" t="s">
        <v>6493</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6494</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6495</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6468</v>
      </c>
      <c r="E490" s="3734"/>
      <c r="F490" s="4387"/>
      <c r="G490" s="4394"/>
      <c r="H490" s="4378"/>
      <c r="I490" s="4377"/>
      <c r="J490" s="3767"/>
      <c r="K490" s="4848"/>
    </row>
    <row r="491" spans="1:41" s="2276" customFormat="1" ht="27" customHeight="1">
      <c r="A491" s="3741">
        <v>92</v>
      </c>
      <c r="B491" s="4392">
        <v>721</v>
      </c>
      <c r="C491" s="3734" t="s">
        <v>6496</v>
      </c>
      <c r="D491" s="3734" t="s">
        <v>6497</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6498</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6499</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6468</v>
      </c>
      <c r="E494" s="3734"/>
      <c r="F494" s="4387"/>
      <c r="G494" s="4394"/>
      <c r="H494" s="4378"/>
      <c r="I494" s="4377"/>
      <c r="J494" s="3767"/>
      <c r="K494" s="4848"/>
    </row>
    <row r="495" spans="1:41" s="2276" customFormat="1" ht="27" customHeight="1">
      <c r="A495" s="3741">
        <v>93</v>
      </c>
      <c r="B495" s="4392">
        <v>721</v>
      </c>
      <c r="C495" s="3734" t="s">
        <v>6500</v>
      </c>
      <c r="D495" s="3734" t="s">
        <v>6501</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6502</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6503</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6468</v>
      </c>
      <c r="E498" s="3734"/>
      <c r="F498" s="4387"/>
      <c r="G498" s="4394"/>
      <c r="H498" s="4378"/>
      <c r="I498" s="4377"/>
      <c r="J498" s="3767"/>
      <c r="K498" s="4848"/>
    </row>
    <row r="499" spans="1:41" s="2276" customFormat="1" ht="27" customHeight="1">
      <c r="A499" s="3741">
        <v>94</v>
      </c>
      <c r="B499" s="4392">
        <v>721</v>
      </c>
      <c r="C499" s="3734" t="s">
        <v>6504</v>
      </c>
      <c r="D499" s="3734" t="s">
        <v>6505</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6506</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6507</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6468</v>
      </c>
      <c r="E502" s="3734"/>
      <c r="F502" s="4387"/>
      <c r="G502" s="4394"/>
      <c r="H502" s="4378"/>
      <c r="I502" s="4377"/>
      <c r="J502" s="3767"/>
      <c r="K502" s="4848"/>
    </row>
    <row r="503" spans="1:41" s="2276" customFormat="1" ht="13.5" customHeight="1">
      <c r="A503" s="3741">
        <v>95</v>
      </c>
      <c r="B503" s="4392">
        <v>721</v>
      </c>
      <c r="C503" s="3734" t="s">
        <v>6508</v>
      </c>
      <c r="D503" s="3734" t="s">
        <v>6509</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6510</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6511</v>
      </c>
      <c r="D505" s="3734" t="s">
        <v>6512</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6513</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6514</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6463</v>
      </c>
      <c r="D508" s="3108" t="s">
        <v>6515</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6518</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6519</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6520</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6521</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6522</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6523</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6519</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6520</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6521</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6516</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6524</v>
      </c>
      <c r="D519" s="3536" t="s">
        <v>6525</v>
      </c>
      <c r="E519" s="3536" t="s">
        <v>23</v>
      </c>
      <c r="F519" s="3541">
        <f>ROUND(SUM(F520),3)</f>
        <v>1</v>
      </c>
      <c r="G519" s="3528"/>
      <c r="H519" s="3861">
        <f>ROUND(F519*G519,2)</f>
        <v>0</v>
      </c>
      <c r="I519" s="4028"/>
      <c r="J519" s="3529" t="s">
        <v>60</v>
      </c>
    </row>
    <row r="520" spans="1:122" s="2595" customFormat="1" ht="27" customHeight="1">
      <c r="A520" s="3567"/>
      <c r="B520" s="3558"/>
      <c r="C520" s="3558"/>
      <c r="D520" s="3696" t="s">
        <v>10681</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10476</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10686</v>
      </c>
      <c r="E522" s="4374"/>
      <c r="F522" s="4375"/>
      <c r="G522" s="4376"/>
      <c r="H522" s="4370"/>
      <c r="I522" s="3849"/>
      <c r="J522" s="3726"/>
      <c r="K522" s="4855"/>
      <c r="L522" s="4855"/>
    </row>
    <row r="523" spans="1:122" customFormat="1" ht="13.5" customHeight="1">
      <c r="A523" s="3531"/>
      <c r="B523" s="3532"/>
      <c r="C523" s="3532"/>
      <c r="D523" s="3548" t="s">
        <v>10654</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6526</v>
      </c>
      <c r="D525" s="3734" t="s">
        <v>6527</v>
      </c>
      <c r="E525" s="3734" t="s">
        <v>23</v>
      </c>
      <c r="F525" s="4393">
        <f>ROUND(SUM(F526),3)</f>
        <v>1</v>
      </c>
      <c r="G525" s="4406"/>
      <c r="H525" s="4383"/>
      <c r="I525" s="3942">
        <f>ROUND(F525*G525,2)</f>
        <v>0</v>
      </c>
      <c r="J525" s="3767" t="s">
        <v>60</v>
      </c>
    </row>
    <row r="526" spans="1:122" s="187" customFormat="1" ht="13.5" customHeight="1">
      <c r="A526" s="4413"/>
      <c r="B526" s="3734"/>
      <c r="C526" s="3734"/>
      <c r="D526" s="3739" t="s">
        <v>6528</v>
      </c>
      <c r="E526" s="4414"/>
      <c r="F526" s="4387">
        <v>1</v>
      </c>
      <c r="G526" s="4394"/>
      <c r="H526" s="4378"/>
      <c r="I526" s="4377"/>
      <c r="J526" s="4541"/>
    </row>
    <row r="527" spans="1:122" s="187" customFormat="1" ht="40.5" customHeight="1">
      <c r="A527" s="4413"/>
      <c r="B527" s="3734"/>
      <c r="C527" s="3734"/>
      <c r="D527" s="3739" t="s">
        <v>10680</v>
      </c>
      <c r="E527" s="4414"/>
      <c r="F527" s="4794"/>
      <c r="G527" s="4394"/>
      <c r="H527" s="4378"/>
      <c r="I527" s="4377"/>
      <c r="J527" s="4541"/>
      <c r="K527" s="1967"/>
    </row>
    <row r="528" spans="1:122" s="2259" customFormat="1" ht="90">
      <c r="A528" s="4413"/>
      <c r="B528" s="4397"/>
      <c r="C528" s="4397"/>
      <c r="D528" s="4408" t="s">
        <v>6529</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6530</v>
      </c>
      <c r="D529" s="3734" t="s">
        <v>6531</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6532</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6533</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6924</v>
      </c>
      <c r="E532" s="3695"/>
      <c r="F532" s="4484"/>
      <c r="G532" s="3709"/>
      <c r="H532" s="3816"/>
      <c r="I532" s="3849"/>
      <c r="J532" s="3726"/>
      <c r="K532" s="4596"/>
    </row>
    <row r="533" spans="1:122" s="2303" customFormat="1" ht="94.5" customHeight="1">
      <c r="A533" s="3750"/>
      <c r="B533" s="3695"/>
      <c r="C533" s="3695"/>
      <c r="D533" s="4483" t="s">
        <v>6925</v>
      </c>
      <c r="E533" s="3695"/>
      <c r="F533" s="4484"/>
      <c r="G533" s="3709"/>
      <c r="H533" s="3816"/>
      <c r="I533" s="3849"/>
      <c r="J533" s="3726"/>
      <c r="K533" s="4596"/>
    </row>
    <row r="534" spans="1:122" s="2303" customFormat="1" ht="108" customHeight="1">
      <c r="A534" s="3750"/>
      <c r="B534" s="3695"/>
      <c r="C534" s="3695"/>
      <c r="D534" s="4483" t="s">
        <v>6926</v>
      </c>
      <c r="E534" s="3695"/>
      <c r="F534" s="4484"/>
      <c r="G534" s="3709"/>
      <c r="H534" s="3816"/>
      <c r="I534" s="3849"/>
      <c r="J534" s="3726"/>
      <c r="K534" s="4596"/>
    </row>
    <row r="535" spans="1:122" s="2303" customFormat="1" ht="67.5" customHeight="1">
      <c r="A535" s="3750"/>
      <c r="B535" s="3695"/>
      <c r="C535" s="3695"/>
      <c r="D535" s="4483" t="s">
        <v>6927</v>
      </c>
      <c r="E535" s="3695"/>
      <c r="F535" s="4484"/>
      <c r="G535" s="3709"/>
      <c r="H535" s="3816"/>
      <c r="I535" s="3849"/>
      <c r="J535" s="3726"/>
      <c r="K535" s="4596"/>
    </row>
    <row r="536" spans="1:122" s="2303" customFormat="1" ht="162" customHeight="1">
      <c r="A536" s="3750"/>
      <c r="B536" s="3695"/>
      <c r="C536" s="3695"/>
      <c r="D536" s="4483" t="s">
        <v>6928</v>
      </c>
      <c r="E536" s="3695"/>
      <c r="F536" s="4484"/>
      <c r="G536" s="3709"/>
      <c r="H536" s="3816"/>
      <c r="I536" s="3849"/>
      <c r="J536" s="3726"/>
      <c r="K536" s="4596"/>
    </row>
    <row r="537" spans="1:122" s="2303" customFormat="1" ht="40.5" customHeight="1">
      <c r="A537" s="3750"/>
      <c r="B537" s="3695"/>
      <c r="C537" s="3695"/>
      <c r="D537" s="4483" t="s">
        <v>10470</v>
      </c>
      <c r="E537" s="3695"/>
      <c r="F537" s="4484"/>
      <c r="G537" s="3709"/>
      <c r="H537" s="3816"/>
      <c r="I537" s="3849"/>
      <c r="J537" s="3726"/>
      <c r="K537" s="4596"/>
    </row>
    <row r="538" spans="1:122" s="2303" customFormat="1" ht="54" customHeight="1">
      <c r="A538" s="3750"/>
      <c r="B538" s="3695"/>
      <c r="C538" s="3695"/>
      <c r="D538" s="4483" t="s">
        <v>10460</v>
      </c>
      <c r="E538" s="3695"/>
      <c r="F538" s="4484"/>
      <c r="G538" s="3709"/>
      <c r="H538" s="3816"/>
      <c r="I538" s="3849"/>
      <c r="J538" s="3726"/>
      <c r="K538" s="4596"/>
    </row>
    <row r="539" spans="1:122" s="187" customFormat="1" ht="13.5" customHeight="1">
      <c r="A539" s="3741">
        <v>101</v>
      </c>
      <c r="B539" s="3734">
        <v>721</v>
      </c>
      <c r="C539" s="3734" t="s">
        <v>6534</v>
      </c>
      <c r="D539" s="3734" t="s">
        <v>6535</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6536</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6537</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10687</v>
      </c>
      <c r="E542" s="4374"/>
      <c r="F542" s="4375"/>
      <c r="G542" s="4376"/>
      <c r="H542" s="4370"/>
      <c r="I542" s="3849"/>
      <c r="J542" s="3726"/>
      <c r="K542" s="4855"/>
      <c r="L542" s="4855"/>
    </row>
    <row r="543" spans="1:122" s="4367" customFormat="1" ht="40.700000000000003" customHeight="1">
      <c r="A543" s="4372"/>
      <c r="B543" s="4373"/>
      <c r="C543" s="4373"/>
      <c r="D543" s="4483" t="s">
        <v>10689</v>
      </c>
      <c r="E543" s="4374"/>
      <c r="F543" s="4375"/>
      <c r="G543" s="4376"/>
      <c r="H543" s="4370"/>
      <c r="I543" s="3849"/>
      <c r="J543" s="3726"/>
      <c r="K543" s="4855"/>
      <c r="L543" s="4855"/>
    </row>
    <row r="544" spans="1:122" s="4367" customFormat="1" ht="27" customHeight="1">
      <c r="A544" s="4372"/>
      <c r="B544" s="4373"/>
      <c r="C544" s="4373"/>
      <c r="D544" s="3548" t="s">
        <v>10688</v>
      </c>
      <c r="E544" s="4374"/>
      <c r="F544" s="4375"/>
      <c r="G544" s="4376"/>
      <c r="H544" s="4370"/>
      <c r="I544" s="3849"/>
      <c r="J544" s="3726"/>
      <c r="K544" s="4855"/>
      <c r="L544" s="4855"/>
    </row>
    <row r="545" spans="1:122" s="2306" customFormat="1" ht="13.5" customHeight="1">
      <c r="A545" s="4571" t="s">
        <v>3700</v>
      </c>
      <c r="B545" s="4417">
        <v>721</v>
      </c>
      <c r="C545" s="4417" t="s">
        <v>6538</v>
      </c>
      <c r="D545" s="4417" t="s">
        <v>6539</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6540</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6541</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6542</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6543</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6544</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6545</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6546</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6547</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6548</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6546</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6549</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6550</v>
      </c>
      <c r="D560" s="3734" t="s">
        <v>6551</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6552</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10284</v>
      </c>
      <c r="B562" s="4397"/>
      <c r="C562" s="4398">
        <v>722140111</v>
      </c>
      <c r="D562" s="3739" t="s">
        <v>11561</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10285</v>
      </c>
      <c r="B563" s="4397"/>
      <c r="C563" s="4398">
        <v>722181221</v>
      </c>
      <c r="D563" s="3739" t="s">
        <v>11562</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11559</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6555</v>
      </c>
      <c r="D566" s="3734" t="s">
        <v>6556</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6557</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6553</v>
      </c>
      <c r="B568" s="4397"/>
      <c r="C568" s="4398">
        <v>722140111</v>
      </c>
      <c r="D568" s="3739" t="s">
        <v>11564</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6554</v>
      </c>
      <c r="B569" s="4397"/>
      <c r="C569" s="4398">
        <v>713463211</v>
      </c>
      <c r="D569" s="3739" t="s">
        <v>11563</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10289</v>
      </c>
      <c r="B570" s="4401"/>
      <c r="C570" s="4402" t="s">
        <v>6561</v>
      </c>
      <c r="D570" s="3746" t="s">
        <v>11565</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11560</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6562</v>
      </c>
      <c r="D573" s="3734" t="s">
        <v>6563</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6552</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6558</v>
      </c>
      <c r="B575" s="4397"/>
      <c r="C575" s="4398">
        <v>722140112</v>
      </c>
      <c r="D575" s="3739" t="s">
        <v>6565</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6559</v>
      </c>
      <c r="B576" s="4397"/>
      <c r="C576" s="4398">
        <v>722181221</v>
      </c>
      <c r="D576" s="3739" t="s">
        <v>6567</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6568</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6569</v>
      </c>
      <c r="D579" s="3734" t="s">
        <v>6570</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6571</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6564</v>
      </c>
      <c r="B581" s="4397"/>
      <c r="C581" s="4398">
        <v>722140112</v>
      </c>
      <c r="D581" s="3739" t="s">
        <v>11567</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6566</v>
      </c>
      <c r="B582" s="4397"/>
      <c r="C582" s="4398">
        <v>713463211</v>
      </c>
      <c r="D582" s="3739" t="s">
        <v>11568</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10294</v>
      </c>
      <c r="B583" s="4401"/>
      <c r="C583" s="4402" t="s">
        <v>6575</v>
      </c>
      <c r="D583" s="3746" t="s">
        <v>11569</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11566</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6576</v>
      </c>
      <c r="D586" s="3734" t="s">
        <v>6577</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6552</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6572</v>
      </c>
      <c r="B588" s="4397"/>
      <c r="C588" s="4398">
        <v>722140113</v>
      </c>
      <c r="D588" s="3739" t="s">
        <v>6579</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6573</v>
      </c>
      <c r="B589" s="4397"/>
      <c r="C589" s="4398">
        <v>722181221</v>
      </c>
      <c r="D589" s="3739" t="s">
        <v>6581</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6582</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6583</v>
      </c>
      <c r="D592" s="3734" t="s">
        <v>6584</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6571</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6578</v>
      </c>
      <c r="B594" s="4397"/>
      <c r="C594" s="4398">
        <v>722140113</v>
      </c>
      <c r="D594" s="3739" t="s">
        <v>6586</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6580</v>
      </c>
      <c r="B595" s="4397"/>
      <c r="C595" s="4398">
        <v>713463211</v>
      </c>
      <c r="D595" s="3739" t="s">
        <v>6588</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10299</v>
      </c>
      <c r="B596" s="4401"/>
      <c r="C596" s="4402" t="s">
        <v>6590</v>
      </c>
      <c r="D596" s="3746" t="s">
        <v>6591</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6592</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6593</v>
      </c>
      <c r="D599" s="3734" t="s">
        <v>6594</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6552</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6585</v>
      </c>
      <c r="B601" s="4397"/>
      <c r="C601" s="4398">
        <v>722140114</v>
      </c>
      <c r="D601" s="3739" t="s">
        <v>6596</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6587</v>
      </c>
      <c r="B602" s="4397"/>
      <c r="C602" s="4398">
        <v>722181222</v>
      </c>
      <c r="D602" s="3739" t="s">
        <v>6598</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6599</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6600</v>
      </c>
      <c r="D605" s="3734" t="s">
        <v>6601</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6602</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6595</v>
      </c>
      <c r="B607" s="4397"/>
      <c r="C607" s="4398">
        <v>722140114</v>
      </c>
      <c r="D607" s="3739" t="s">
        <v>6604</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6597</v>
      </c>
      <c r="B608" s="4397"/>
      <c r="C608" s="4398">
        <v>713463211</v>
      </c>
      <c r="D608" s="3739" t="s">
        <v>6606</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10304</v>
      </c>
      <c r="B609" s="4401"/>
      <c r="C609" s="4402" t="s">
        <v>6608</v>
      </c>
      <c r="D609" s="3746" t="s">
        <v>6609</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6610</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6611</v>
      </c>
      <c r="D612" s="3734" t="s">
        <v>6612</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6552</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6603</v>
      </c>
      <c r="B614" s="4397"/>
      <c r="C614" s="4398">
        <v>722140115</v>
      </c>
      <c r="D614" s="3739" t="s">
        <v>6614</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6605</v>
      </c>
      <c r="B615" s="4397"/>
      <c r="C615" s="4398">
        <v>722181222</v>
      </c>
      <c r="D615" s="3739" t="s">
        <v>6616</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6617</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6618</v>
      </c>
      <c r="D618" s="3734" t="s">
        <v>6619</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6620</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6613</v>
      </c>
      <c r="B620" s="4397"/>
      <c r="C620" s="4398">
        <v>722140115</v>
      </c>
      <c r="D620" s="3739" t="s">
        <v>6622</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6615</v>
      </c>
      <c r="B621" s="4397"/>
      <c r="C621" s="4398">
        <v>713463211</v>
      </c>
      <c r="D621" s="3739" t="s">
        <v>6624</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10309</v>
      </c>
      <c r="B622" s="4401"/>
      <c r="C622" s="4402" t="s">
        <v>6626</v>
      </c>
      <c r="D622" s="3746" t="s">
        <v>6627</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6628</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6629</v>
      </c>
      <c r="D625" s="3734" t="s">
        <v>6630</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6552</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6621</v>
      </c>
      <c r="B627" s="4397"/>
      <c r="C627" s="4398">
        <v>722140116</v>
      </c>
      <c r="D627" s="3739" t="s">
        <v>6632</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6623</v>
      </c>
      <c r="B628" s="4397"/>
      <c r="C628" s="4398">
        <v>722181222</v>
      </c>
      <c r="D628" s="3739" t="s">
        <v>6634</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6635</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6636</v>
      </c>
      <c r="D631" s="3734" t="s">
        <v>6637</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6620</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6631</v>
      </c>
      <c r="B633" s="4397"/>
      <c r="C633" s="4398">
        <v>722140116</v>
      </c>
      <c r="D633" s="3739" t="s">
        <v>6632</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6633</v>
      </c>
      <c r="B634" s="4397"/>
      <c r="C634" s="4398">
        <v>713463211</v>
      </c>
      <c r="D634" s="3739" t="s">
        <v>6640</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10696</v>
      </c>
      <c r="B635" s="4401"/>
      <c r="C635" s="4402" t="s">
        <v>6641</v>
      </c>
      <c r="D635" s="3746" t="s">
        <v>6642</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6643</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6644</v>
      </c>
      <c r="D638" s="3734" t="s">
        <v>6645</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6552</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6638</v>
      </c>
      <c r="B640" s="4397"/>
      <c r="C640" s="4398">
        <v>722140117</v>
      </c>
      <c r="D640" s="3739" t="s">
        <v>11587</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6639</v>
      </c>
      <c r="B641" s="4397"/>
      <c r="C641" s="4398">
        <v>722181223</v>
      </c>
      <c r="D641" s="3739" t="s">
        <v>11588</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6648</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6649</v>
      </c>
      <c r="D644" s="3734" t="s">
        <v>6650</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6620</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6646</v>
      </c>
      <c r="B646" s="4397"/>
      <c r="C646" s="4398">
        <v>722140117</v>
      </c>
      <c r="D646" s="3739" t="s">
        <v>6651</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6647</v>
      </c>
      <c r="B647" s="4397"/>
      <c r="C647" s="4398">
        <v>713463212</v>
      </c>
      <c r="D647" s="3739" t="s">
        <v>6652</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10697</v>
      </c>
      <c r="B648" s="4401"/>
      <c r="C648" s="4402" t="s">
        <v>6653</v>
      </c>
      <c r="D648" s="3746" t="s">
        <v>6654</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6655</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6656</v>
      </c>
      <c r="D651" s="3734" t="s">
        <v>6657</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6658</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6659</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6660</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6661</v>
      </c>
      <c r="D655" s="3734" t="s">
        <v>6662</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6663</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6664</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6665</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6666</v>
      </c>
      <c r="D659" s="3734" t="s">
        <v>6667</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6668</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6669</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6665</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6670</v>
      </c>
      <c r="D663" s="3734" t="s">
        <v>6671</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6672</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6673</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6665</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6674</v>
      </c>
      <c r="D667" s="3734" t="s">
        <v>6675</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6676</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6677</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6665</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6678</v>
      </c>
      <c r="D671" s="3734" t="s">
        <v>6679</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6680</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6681</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6660</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6682</v>
      </c>
      <c r="D675" s="3734" t="s">
        <v>6683</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6684</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6681</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6660</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6685</v>
      </c>
      <c r="D679" s="3734" t="s">
        <v>6686</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6687</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6688</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6689</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6690</v>
      </c>
      <c r="D683" s="3734" t="s">
        <v>6691</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6692</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6693</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6694</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6695</v>
      </c>
      <c r="D687" s="3734" t="s">
        <v>6696</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6697</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6698</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6694</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6699</v>
      </c>
      <c r="D691" s="3734" t="s">
        <v>6700</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6701</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6702</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6703</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6704</v>
      </c>
      <c r="D695" s="3734" t="s">
        <v>6705</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6706</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6707</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6703</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6708</v>
      </c>
      <c r="D699" s="3734" t="s">
        <v>6709</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6710</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6711</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6703</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6712</v>
      </c>
      <c r="D703" s="3734" t="s">
        <v>6713</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6714</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6715</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6703</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6716</v>
      </c>
      <c r="D707" s="3734" t="s">
        <v>6717</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6718</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6719</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6715</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6703</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6720</v>
      </c>
      <c r="D712" s="3734" t="s">
        <v>6721</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6722</v>
      </c>
      <c r="E713" s="3734"/>
      <c r="F713" s="4393"/>
      <c r="G713" s="4429"/>
      <c r="H713" s="4378"/>
      <c r="I713" s="4377"/>
      <c r="J713" s="3767"/>
      <c r="K713" s="1512"/>
    </row>
    <row r="714" spans="1:30" s="2276" customFormat="1" ht="13.5" customHeight="1">
      <c r="A714" s="4574"/>
      <c r="B714" s="4386"/>
      <c r="C714" s="4386"/>
      <c r="D714" s="3739" t="s">
        <v>6723</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6724</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6725</v>
      </c>
      <c r="D716" s="3734" t="s">
        <v>6726</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6727</v>
      </c>
      <c r="E717" s="3734"/>
      <c r="F717" s="4393"/>
      <c r="G717" s="4429"/>
      <c r="H717" s="4378"/>
      <c r="I717" s="4377"/>
      <c r="J717" s="3767"/>
      <c r="K717" s="1512"/>
    </row>
    <row r="718" spans="1:30" s="2276" customFormat="1" ht="13.5" customHeight="1">
      <c r="A718" s="4574"/>
      <c r="B718" s="4386"/>
      <c r="C718" s="4386"/>
      <c r="D718" s="3739" t="s">
        <v>6728</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6729</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6730</v>
      </c>
      <c r="D720" s="3734" t="s">
        <v>6731</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6732</v>
      </c>
      <c r="E721" s="3734"/>
      <c r="F721" s="4393"/>
      <c r="G721" s="4429"/>
      <c r="H721" s="4378"/>
      <c r="I721" s="4377"/>
      <c r="J721" s="3767"/>
      <c r="K721" s="1512"/>
    </row>
    <row r="722" spans="1:30" s="2276" customFormat="1" ht="13.5" customHeight="1">
      <c r="A722" s="4574"/>
      <c r="B722" s="4386"/>
      <c r="C722" s="4386"/>
      <c r="D722" s="3739" t="s">
        <v>6733</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6729</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6734</v>
      </c>
      <c r="D724" s="3734" t="s">
        <v>6735</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6736</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6737</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6660</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6738</v>
      </c>
      <c r="D728" s="3734" t="s">
        <v>6739</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6740</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6741</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6742</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6743</v>
      </c>
      <c r="D732" s="3734" t="s">
        <v>6744</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6745</v>
      </c>
      <c r="E733" s="4397"/>
      <c r="F733" s="4387"/>
      <c r="G733" s="4425"/>
      <c r="H733" s="4383"/>
      <c r="I733" s="4384"/>
      <c r="J733" s="4541"/>
    </row>
    <row r="734" spans="1:30" s="187" customFormat="1" ht="13.5" customHeight="1">
      <c r="A734" s="4576"/>
      <c r="B734" s="4397"/>
      <c r="C734" s="4397"/>
      <c r="D734" s="3739" t="s">
        <v>6746</v>
      </c>
      <c r="E734" s="4397"/>
      <c r="F734" s="4387">
        <v>1</v>
      </c>
      <c r="G734" s="4425"/>
      <c r="H734" s="4383"/>
      <c r="I734" s="4384"/>
      <c r="J734" s="4541"/>
    </row>
    <row r="735" spans="1:30" s="187" customFormat="1" ht="13.5" customHeight="1">
      <c r="A735" s="4576"/>
      <c r="B735" s="4397"/>
      <c r="C735" s="4397"/>
      <c r="D735" s="3739" t="s">
        <v>6747</v>
      </c>
      <c r="E735" s="4397"/>
      <c r="F735" s="4387"/>
      <c r="G735" s="4425"/>
      <c r="H735" s="4383"/>
      <c r="I735" s="4384"/>
      <c r="J735" s="4541"/>
    </row>
    <row r="736" spans="1:30" s="2276" customFormat="1" ht="13.5" customHeight="1">
      <c r="A736" s="3635" t="s">
        <v>3857</v>
      </c>
      <c r="B736" s="3734" t="s">
        <v>1007</v>
      </c>
      <c r="C736" s="3734" t="s">
        <v>6748</v>
      </c>
      <c r="D736" s="3734" t="s">
        <v>6749</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6750</v>
      </c>
      <c r="E737" s="3734"/>
      <c r="F737" s="4393"/>
      <c r="G737" s="4429"/>
      <c r="H737" s="4378"/>
      <c r="I737" s="4377"/>
      <c r="J737" s="4541"/>
      <c r="K737" s="4874"/>
    </row>
    <row r="738" spans="1:30" s="187" customFormat="1" ht="13.5" customHeight="1">
      <c r="A738" s="4576"/>
      <c r="B738" s="4397"/>
      <c r="C738" s="4397"/>
      <c r="D738" s="3739" t="s">
        <v>6751</v>
      </c>
      <c r="E738" s="4397"/>
      <c r="F738" s="4387">
        <v>2</v>
      </c>
      <c r="G738" s="4425"/>
      <c r="H738" s="4383"/>
      <c r="I738" s="4384"/>
      <c r="J738" s="4541"/>
    </row>
    <row r="739" spans="1:30" s="2276" customFormat="1" ht="13.5" customHeight="1">
      <c r="A739" s="3635" t="s">
        <v>3861</v>
      </c>
      <c r="B739" s="3734" t="s">
        <v>1007</v>
      </c>
      <c r="C739" s="3734" t="s">
        <v>6752</v>
      </c>
      <c r="D739" s="3734" t="s">
        <v>6753</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6754</v>
      </c>
      <c r="E740" s="3734"/>
      <c r="F740" s="4393"/>
      <c r="G740" s="4429"/>
      <c r="H740" s="4378"/>
      <c r="I740" s="4377"/>
      <c r="J740" s="4541"/>
      <c r="K740" s="4874"/>
      <c r="Y740" s="4866"/>
    </row>
    <row r="741" spans="1:30" s="187" customFormat="1" ht="13.5" customHeight="1">
      <c r="A741" s="4576"/>
      <c r="B741" s="4397"/>
      <c r="C741" s="4397"/>
      <c r="D741" s="3739" t="s">
        <v>6755</v>
      </c>
      <c r="E741" s="4397"/>
      <c r="F741" s="4387">
        <v>1</v>
      </c>
      <c r="G741" s="4425"/>
      <c r="H741" s="4383"/>
      <c r="I741" s="4384"/>
      <c r="J741" s="4541"/>
      <c r="R741" s="4866"/>
    </row>
    <row r="742" spans="1:30" s="187" customFormat="1" ht="27" customHeight="1">
      <c r="A742" s="4576"/>
      <c r="B742" s="4397"/>
      <c r="C742" s="4397"/>
      <c r="D742" s="3739" t="s">
        <v>6756</v>
      </c>
      <c r="E742" s="4397"/>
      <c r="F742" s="4387"/>
      <c r="G742" s="4425"/>
      <c r="H742" s="4383"/>
      <c r="I742" s="4384"/>
      <c r="J742" s="4541"/>
      <c r="R742" s="845"/>
    </row>
    <row r="743" spans="1:30" s="187" customFormat="1" ht="13.5" customHeight="1">
      <c r="A743" s="3741">
        <v>144</v>
      </c>
      <c r="B743" s="3734">
        <v>721</v>
      </c>
      <c r="C743" s="3734" t="s">
        <v>6757</v>
      </c>
      <c r="D743" s="3734" t="s">
        <v>6758</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6759</v>
      </c>
      <c r="E744" s="4414"/>
      <c r="F744" s="3576"/>
      <c r="G744" s="4406"/>
      <c r="H744" s="4383"/>
      <c r="I744" s="4384"/>
      <c r="J744" s="3767"/>
      <c r="K744" s="4813"/>
      <c r="L744" s="4876"/>
    </row>
    <row r="745" spans="1:30" s="187" customFormat="1" ht="13.5" customHeight="1">
      <c r="A745" s="3741"/>
      <c r="B745" s="3734"/>
      <c r="C745" s="3734"/>
      <c r="D745" s="3739" t="s">
        <v>6760</v>
      </c>
      <c r="E745" s="4414"/>
      <c r="F745" s="4387">
        <v>1</v>
      </c>
      <c r="G745" s="4406"/>
      <c r="H745" s="4383"/>
      <c r="I745" s="4384"/>
      <c r="J745" s="3767"/>
      <c r="K745" s="4813"/>
      <c r="L745" s="4876"/>
    </row>
    <row r="746" spans="1:30" s="2271" customFormat="1" ht="54" customHeight="1">
      <c r="A746" s="4407"/>
      <c r="B746" s="3734"/>
      <c r="C746" s="3734"/>
      <c r="D746" s="4408" t="s">
        <v>6761</v>
      </c>
      <c r="E746" s="3734"/>
      <c r="F746" s="4387"/>
      <c r="G746" s="4394"/>
      <c r="H746" s="4378"/>
      <c r="I746" s="4377"/>
      <c r="J746" s="3767"/>
      <c r="K746" s="4877"/>
    </row>
    <row r="747" spans="1:30" s="187" customFormat="1" ht="27" customHeight="1">
      <c r="A747" s="3741"/>
      <c r="B747" s="3734"/>
      <c r="C747" s="3734"/>
      <c r="D747" s="3739" t="s">
        <v>6762</v>
      </c>
      <c r="E747" s="4414"/>
      <c r="F747" s="3576"/>
      <c r="G747" s="4406"/>
      <c r="H747" s="4383"/>
      <c r="I747" s="4384"/>
      <c r="J747" s="3767"/>
      <c r="K747" s="4813"/>
      <c r="L747" s="4876"/>
    </row>
    <row r="748" spans="1:30" s="187" customFormat="1" ht="27" customHeight="1">
      <c r="A748" s="3741"/>
      <c r="B748" s="3734"/>
      <c r="C748" s="3734"/>
      <c r="D748" s="3739" t="s">
        <v>6763</v>
      </c>
      <c r="E748" s="4414"/>
      <c r="F748" s="3576"/>
      <c r="G748" s="4406"/>
      <c r="H748" s="4383"/>
      <c r="I748" s="4384"/>
      <c r="J748" s="3767"/>
      <c r="K748" s="4813"/>
      <c r="L748" s="4876"/>
    </row>
    <row r="749" spans="1:30" s="333" customFormat="1" ht="13.5" customHeight="1">
      <c r="A749" s="3741">
        <v>145</v>
      </c>
      <c r="B749" s="3734">
        <v>721</v>
      </c>
      <c r="C749" s="3734">
        <v>722290226</v>
      </c>
      <c r="D749" s="3734" t="s">
        <v>6764</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6765</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6766</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6767</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6768</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11589</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11570</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6769</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6770</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6771</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6772</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6773</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6774</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6775</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11571</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11572</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6776</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6777</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6778</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6773</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6779</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6780</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10462</v>
      </c>
      <c r="D771" s="3536" t="s">
        <v>6525</v>
      </c>
      <c r="E771" s="3536" t="s">
        <v>23</v>
      </c>
      <c r="F771" s="3541">
        <f>ROUND(SUM(F772),3)</f>
        <v>1</v>
      </c>
      <c r="G771" s="3528"/>
      <c r="H771" s="3861">
        <f>ROUND(F771*G771,2)</f>
        <v>0</v>
      </c>
      <c r="I771" s="4028"/>
      <c r="J771" s="3529" t="s">
        <v>60</v>
      </c>
    </row>
    <row r="772" spans="1:122" s="2595" customFormat="1" ht="27" customHeight="1">
      <c r="A772" s="3567"/>
      <c r="B772" s="3558"/>
      <c r="C772" s="3558"/>
      <c r="D772" s="3696" t="s">
        <v>10685</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10476</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10693</v>
      </c>
      <c r="E774" s="4374"/>
      <c r="F774" s="4375"/>
      <c r="G774" s="4376"/>
      <c r="H774" s="4370"/>
      <c r="I774" s="3849"/>
      <c r="J774" s="3726"/>
      <c r="K774" s="4855"/>
      <c r="L774" s="4855"/>
    </row>
    <row r="775" spans="1:122" customFormat="1" ht="13.5" customHeight="1">
      <c r="A775" s="3531"/>
      <c r="B775" s="3532"/>
      <c r="C775" s="3532"/>
      <c r="D775" s="3548" t="s">
        <v>10684</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6781</v>
      </c>
      <c r="D777" s="3734" t="s">
        <v>6531</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6782</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6533</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6920</v>
      </c>
      <c r="E780" s="3695"/>
      <c r="F780" s="4484"/>
      <c r="G780" s="3709"/>
      <c r="H780" s="3816"/>
      <c r="I780" s="3849"/>
      <c r="J780" s="3726"/>
      <c r="K780" s="4596"/>
    </row>
    <row r="781" spans="1:122" s="2303" customFormat="1" ht="94.5" customHeight="1">
      <c r="A781" s="3750"/>
      <c r="B781" s="3695"/>
      <c r="C781" s="3695"/>
      <c r="D781" s="4483" t="s">
        <v>6921</v>
      </c>
      <c r="E781" s="3695"/>
      <c r="F781" s="4484"/>
      <c r="G781" s="3709"/>
      <c r="H781" s="3816"/>
      <c r="I781" s="3849"/>
      <c r="J781" s="3726"/>
      <c r="K781" s="4596"/>
    </row>
    <row r="782" spans="1:122" s="2303" customFormat="1" ht="94.5" customHeight="1">
      <c r="A782" s="3750"/>
      <c r="B782" s="3695"/>
      <c r="C782" s="3695"/>
      <c r="D782" s="4483" t="s">
        <v>6922</v>
      </c>
      <c r="E782" s="3695"/>
      <c r="F782" s="4484"/>
      <c r="G782" s="3709"/>
      <c r="H782" s="3816"/>
      <c r="I782" s="3849"/>
      <c r="J782" s="3726"/>
      <c r="K782" s="4596"/>
    </row>
    <row r="783" spans="1:122" s="2303" customFormat="1" ht="54" customHeight="1">
      <c r="A783" s="3750"/>
      <c r="B783" s="3695"/>
      <c r="C783" s="3695"/>
      <c r="D783" s="4483" t="s">
        <v>6923</v>
      </c>
      <c r="E783" s="3695"/>
      <c r="F783" s="4484"/>
      <c r="G783" s="3709"/>
      <c r="H783" s="3816"/>
      <c r="I783" s="3849"/>
      <c r="J783" s="3726"/>
      <c r="K783" s="4596"/>
    </row>
    <row r="784" spans="1:122" s="2303" customFormat="1" ht="229.5" customHeight="1">
      <c r="A784" s="3750"/>
      <c r="B784" s="3695"/>
      <c r="C784" s="3695"/>
      <c r="D784" s="4483" t="s">
        <v>10461</v>
      </c>
      <c r="E784" s="3695"/>
      <c r="F784" s="4484"/>
      <c r="G784" s="3709"/>
      <c r="H784" s="3816"/>
      <c r="I784" s="3849"/>
      <c r="J784" s="3726"/>
      <c r="K784" s="4596"/>
    </row>
    <row r="785" spans="1:122" s="2303" customFormat="1" ht="40.5" customHeight="1">
      <c r="A785" s="3750"/>
      <c r="B785" s="3695"/>
      <c r="C785" s="3695"/>
      <c r="D785" s="4483" t="s">
        <v>10469</v>
      </c>
      <c r="E785" s="3695"/>
      <c r="F785" s="4484"/>
      <c r="G785" s="3709"/>
      <c r="H785" s="3816"/>
      <c r="I785" s="3849"/>
      <c r="J785" s="3726"/>
      <c r="K785" s="4596"/>
    </row>
    <row r="786" spans="1:122" s="2303" customFormat="1" ht="54" customHeight="1">
      <c r="A786" s="3750"/>
      <c r="B786" s="3695"/>
      <c r="C786" s="3695"/>
      <c r="D786" s="4483" t="s">
        <v>10460</v>
      </c>
      <c r="E786" s="3695"/>
      <c r="F786" s="4484"/>
      <c r="G786" s="3709"/>
      <c r="H786" s="3816"/>
      <c r="I786" s="3849"/>
      <c r="J786" s="3726"/>
      <c r="K786" s="4596"/>
    </row>
    <row r="787" spans="1:122" s="187" customFormat="1" ht="13.5" customHeight="1">
      <c r="A787" s="3741">
        <v>149</v>
      </c>
      <c r="B787" s="3734">
        <v>721</v>
      </c>
      <c r="C787" s="3734" t="s">
        <v>6783</v>
      </c>
      <c r="D787" s="3734" t="s">
        <v>6535</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6536</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6537</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10691</v>
      </c>
      <c r="E790" s="4374"/>
      <c r="F790" s="4375"/>
      <c r="G790" s="4376"/>
      <c r="H790" s="4370"/>
      <c r="I790" s="3849"/>
      <c r="J790" s="3726"/>
      <c r="K790" s="4855"/>
      <c r="L790" s="4855"/>
    </row>
    <row r="791" spans="1:122" s="4367" customFormat="1" ht="40.700000000000003" customHeight="1">
      <c r="A791" s="4372"/>
      <c r="B791" s="4373"/>
      <c r="C791" s="4373"/>
      <c r="D791" s="4483" t="s">
        <v>10692</v>
      </c>
      <c r="E791" s="4374"/>
      <c r="F791" s="4375"/>
      <c r="G791" s="4376"/>
      <c r="H791" s="4370"/>
      <c r="I791" s="3849"/>
      <c r="J791" s="3726"/>
      <c r="K791" s="4855"/>
      <c r="L791" s="4855"/>
    </row>
    <row r="792" spans="1:122" s="4367" customFormat="1" ht="40.5" customHeight="1">
      <c r="A792" s="4372"/>
      <c r="B792" s="4373"/>
      <c r="C792" s="4373"/>
      <c r="D792" s="3548" t="s">
        <v>10690</v>
      </c>
      <c r="E792" s="4374"/>
      <c r="F792" s="4375"/>
      <c r="G792" s="4376"/>
      <c r="H792" s="4370"/>
      <c r="I792" s="3849"/>
      <c r="J792" s="3726"/>
      <c r="K792" s="4855"/>
      <c r="L792" s="4855"/>
    </row>
    <row r="793" spans="1:122" s="2306" customFormat="1" ht="13.5" customHeight="1">
      <c r="A793" s="4571" t="s">
        <v>3889</v>
      </c>
      <c r="B793" s="4417">
        <v>721</v>
      </c>
      <c r="C793" s="4417" t="s">
        <v>6784</v>
      </c>
      <c r="D793" s="4417" t="s">
        <v>6785</v>
      </c>
      <c r="E793" s="4417" t="s">
        <v>23</v>
      </c>
      <c r="F793" s="4393">
        <f>ROUND(SUM(F794),3)</f>
        <v>1</v>
      </c>
      <c r="G793" s="4418"/>
      <c r="H793" s="3861">
        <f>ROUND(F793*G793,2)</f>
        <v>0</v>
      </c>
      <c r="I793" s="3942"/>
      <c r="J793" s="4542" t="s">
        <v>60</v>
      </c>
    </row>
    <row r="794" spans="1:122" s="2308" customFormat="1" ht="27" customHeight="1">
      <c r="A794" s="4571"/>
      <c r="B794" s="4572"/>
      <c r="C794" s="4417"/>
      <c r="D794" s="4419" t="s">
        <v>6786</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6787</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6788</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6543</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6789</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6790</v>
      </c>
      <c r="D800" s="4755" t="s">
        <v>6791</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6792</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6523</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6519</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6520</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6521</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6793</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6794</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6795</v>
      </c>
      <c r="D808" s="151" t="s">
        <v>6796</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6797</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6519</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6520</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6521</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6798</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6794</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6799</v>
      </c>
      <c r="D815" s="4769" t="s">
        <v>6800</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6801</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6330</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6802</v>
      </c>
      <c r="E818" s="151"/>
      <c r="F818" s="136">
        <v>3</v>
      </c>
      <c r="G818" s="362"/>
      <c r="H818" s="3812"/>
      <c r="I818" s="3822"/>
      <c r="J818" s="153"/>
      <c r="K818" s="4892"/>
      <c r="U818" s="4893"/>
    </row>
    <row r="819" spans="1:257" s="2271" customFormat="1" ht="13.5" customHeight="1">
      <c r="A819" s="764"/>
      <c r="B819" s="151"/>
      <c r="C819" s="151"/>
      <c r="D819" s="135" t="s">
        <v>6803</v>
      </c>
      <c r="E819" s="151"/>
      <c r="F819" s="136">
        <v>3</v>
      </c>
      <c r="G819" s="362"/>
      <c r="H819" s="3812"/>
      <c r="I819" s="3822"/>
      <c r="J819" s="153"/>
      <c r="K819" s="4892"/>
      <c r="U819" s="4893"/>
    </row>
    <row r="820" spans="1:257" s="2271" customFormat="1" ht="13.5" customHeight="1">
      <c r="A820" s="764"/>
      <c r="B820" s="151"/>
      <c r="C820" s="151"/>
      <c r="D820" s="135" t="s">
        <v>6804</v>
      </c>
      <c r="E820" s="151"/>
      <c r="F820" s="136">
        <v>3</v>
      </c>
      <c r="G820" s="362"/>
      <c r="H820" s="3812"/>
      <c r="I820" s="3822"/>
      <c r="J820" s="153"/>
      <c r="K820" s="4892"/>
      <c r="U820" s="4893"/>
    </row>
    <row r="821" spans="1:257" s="2288" customFormat="1" ht="27" customHeight="1">
      <c r="A821" s="2328"/>
      <c r="B821" s="2329"/>
      <c r="C821" s="193"/>
      <c r="D821" s="193" t="s">
        <v>6805</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6794</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6806</v>
      </c>
      <c r="D823" s="4769" t="s">
        <v>6807</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6808</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6802</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6805</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6794</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6809</v>
      </c>
      <c r="D828" s="4771" t="s">
        <v>6810</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6811</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6519</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6812</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6794</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6813</v>
      </c>
      <c r="D833" s="151" t="s">
        <v>6814</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6815</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6519</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6520</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6521</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6816</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6794</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6817</v>
      </c>
      <c r="D840" s="151" t="s">
        <v>6818</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6819</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6523</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6519</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6520</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6521</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6820</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6794</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6821</v>
      </c>
      <c r="D848" s="151" t="s">
        <v>6822</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6823</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6523</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6519</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6824</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6825</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6826</v>
      </c>
      <c r="D854" s="151" t="s">
        <v>6827</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6828</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6519</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6520</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6521</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6829</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6830</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6831</v>
      </c>
      <c r="D861" s="151" t="s">
        <v>6832</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6828</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6519</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6829</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6830</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6833</v>
      </c>
      <c r="D866" s="151" t="s">
        <v>6834</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6828</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6519</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6835</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6830</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6836</v>
      </c>
      <c r="D871" s="4771" t="s">
        <v>6837</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6838</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6519</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6520</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6521</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6839</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6794</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6840</v>
      </c>
      <c r="D878" s="4771" t="s">
        <v>6841</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6842</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6519</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6839</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6794</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6843</v>
      </c>
      <c r="D883" s="4771" t="s">
        <v>6844</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6845</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6519</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6839</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6794</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6846</v>
      </c>
      <c r="D888" s="4771" t="s">
        <v>6847</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6848</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6523</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6839</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6794</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6849</v>
      </c>
      <c r="D893" s="4771" t="s">
        <v>6850</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6851</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6523</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6839</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6794</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6852</v>
      </c>
      <c r="D898" s="4773" t="s">
        <v>6853</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6854</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6520</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6521</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6855</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6856</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6857</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6858</v>
      </c>
      <c r="D905" s="4773" t="s">
        <v>6859</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6860</v>
      </c>
      <c r="E906" s="4777"/>
      <c r="F906" s="4778"/>
      <c r="G906" s="4779"/>
      <c r="H906" s="3817"/>
      <c r="I906" s="3850"/>
      <c r="J906" s="4554"/>
      <c r="K906" s="4898"/>
    </row>
    <row r="907" spans="1:257" s="2286" customFormat="1" ht="13.5" customHeight="1">
      <c r="A907" s="2281"/>
      <c r="B907" s="2282"/>
      <c r="C907" s="2282"/>
      <c r="D907" s="2282" t="s">
        <v>6519</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6861</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6862</v>
      </c>
      <c r="D909" s="4773" t="s">
        <v>6863</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6864</v>
      </c>
      <c r="E910" s="4777"/>
      <c r="F910" s="4778"/>
      <c r="G910" s="4779"/>
      <c r="H910" s="3817"/>
      <c r="I910" s="3850"/>
      <c r="J910" s="4554"/>
      <c r="K910" s="4898"/>
    </row>
    <row r="911" spans="1:257" s="2286" customFormat="1" ht="13.5" customHeight="1">
      <c r="A911" s="2281"/>
      <c r="B911" s="2282"/>
      <c r="C911" s="2282"/>
      <c r="D911" s="2282" t="s">
        <v>6520</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6521</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6861</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6865</v>
      </c>
      <c r="D914" s="151" t="s">
        <v>6866</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6867</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6868</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6523</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6869</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6870</v>
      </c>
      <c r="D919" s="151" t="s">
        <v>6871</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6872</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6868</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6523</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6873</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6874</v>
      </c>
      <c r="D924" s="151" t="s">
        <v>6875</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6876</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6877</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6523</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6878</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6879</v>
      </c>
      <c r="D929" s="151" t="s">
        <v>6880</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6881</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6882</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6519</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6520</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6521</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6883</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6884</v>
      </c>
      <c r="D936" s="4773" t="s">
        <v>6885</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6886</v>
      </c>
      <c r="E937" s="4777"/>
      <c r="F937" s="4778"/>
      <c r="G937" s="4779"/>
      <c r="H937" s="3817"/>
      <c r="I937" s="3850"/>
      <c r="J937" s="4555"/>
    </row>
    <row r="938" spans="1:257" s="2286" customFormat="1" ht="13.5" customHeight="1">
      <c r="A938" s="2281"/>
      <c r="B938" s="2282"/>
      <c r="C938" s="2282"/>
      <c r="D938" s="2282" t="s">
        <v>6887</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6519</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6520</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6521</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6888</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6889</v>
      </c>
      <c r="D943" s="4773" t="s">
        <v>6890</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6891</v>
      </c>
      <c r="E944" s="4777"/>
      <c r="F944" s="4778"/>
      <c r="G944" s="4779"/>
      <c r="H944" s="3817"/>
      <c r="I944" s="3850"/>
      <c r="J944" s="4555"/>
    </row>
    <row r="945" spans="1:257" s="2286" customFormat="1" ht="13.5" customHeight="1">
      <c r="A945" s="2281"/>
      <c r="B945" s="2282"/>
      <c r="C945" s="2282"/>
      <c r="D945" s="2282" t="s">
        <v>6887</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6523</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6519</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6520</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6521</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6888</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6892</v>
      </c>
      <c r="D951" s="4773" t="s">
        <v>6893</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6894</v>
      </c>
      <c r="E952" s="4777"/>
      <c r="F952" s="4778"/>
      <c r="G952" s="4779"/>
      <c r="H952" s="3817"/>
      <c r="I952" s="3850"/>
      <c r="J952" s="4555"/>
    </row>
    <row r="953" spans="1:257" s="2286" customFormat="1" ht="13.5" customHeight="1">
      <c r="A953" s="2281"/>
      <c r="B953" s="2282"/>
      <c r="C953" s="2282"/>
      <c r="D953" s="2282" t="s">
        <v>6887</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6520</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6521</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6888</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6895</v>
      </c>
      <c r="D957" s="4773" t="s">
        <v>6896</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6894</v>
      </c>
      <c r="E958" s="4777"/>
      <c r="F958" s="4778"/>
      <c r="G958" s="4779"/>
      <c r="H958" s="3817"/>
      <c r="I958" s="3850"/>
      <c r="J958" s="4555"/>
    </row>
    <row r="959" spans="1:257" s="2286" customFormat="1" ht="13.5" customHeight="1">
      <c r="A959" s="2281"/>
      <c r="B959" s="2282"/>
      <c r="C959" s="2282"/>
      <c r="D959" s="2282" t="s">
        <v>6887</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6519</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6520</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6521</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6888</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6897</v>
      </c>
      <c r="D964" s="4773" t="s">
        <v>6898</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6899</v>
      </c>
      <c r="E965" s="4777"/>
      <c r="F965" s="4778"/>
      <c r="G965" s="4779"/>
      <c r="H965" s="3817"/>
      <c r="I965" s="3850"/>
      <c r="J965" s="4555"/>
    </row>
    <row r="966" spans="1:257" s="2286" customFormat="1" ht="13.5" customHeight="1">
      <c r="A966" s="2281"/>
      <c r="B966" s="2282"/>
      <c r="C966" s="2282"/>
      <c r="D966" s="2282" t="s">
        <v>6900</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6523</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6519</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6520</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6521</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6901</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6902</v>
      </c>
      <c r="D972" s="4773" t="s">
        <v>6903</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6904</v>
      </c>
      <c r="E973" s="4777"/>
      <c r="F973" s="4778"/>
      <c r="G973" s="4779"/>
      <c r="H973" s="3817"/>
      <c r="I973" s="3850"/>
      <c r="J973" s="4555"/>
    </row>
    <row r="974" spans="1:257" s="2286" customFormat="1" ht="13.5" customHeight="1">
      <c r="A974" s="2281"/>
      <c r="B974" s="2282"/>
      <c r="C974" s="2282"/>
      <c r="D974" s="2282" t="s">
        <v>6905</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6520</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6521</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6861</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6906</v>
      </c>
      <c r="D978" s="4781" t="s">
        <v>6907</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6908</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6523</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6519</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6520</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6521</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6909</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6910</v>
      </c>
      <c r="D985" s="151" t="s">
        <v>6911</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6912</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6913</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6914</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6915</v>
      </c>
      <c r="D989" s="151" t="s">
        <v>6916</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6917</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6918</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6919</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896" t="s">
        <v>99</v>
      </c>
      <c r="B997" s="5897"/>
      <c r="C997" s="5898"/>
      <c r="D997" s="306" t="s">
        <v>10493</v>
      </c>
      <c r="E997" s="307"/>
      <c r="F997" s="308"/>
      <c r="G997" s="309"/>
      <c r="H997" s="3852">
        <f>H995</f>
        <v>0</v>
      </c>
      <c r="I997" s="3853"/>
      <c r="J997" s="310"/>
    </row>
    <row r="998" spans="1:11" ht="13.5" customHeight="1">
      <c r="A998" s="5896" t="s">
        <v>99</v>
      </c>
      <c r="B998" s="5897"/>
      <c r="C998" s="5898"/>
      <c r="D998" s="306" t="s">
        <v>10494</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814" t="s">
        <v>308</v>
      </c>
      <c r="B1001" s="5814"/>
      <c r="C1001" s="5814"/>
      <c r="D1001" s="5814"/>
      <c r="E1001" s="5814"/>
      <c r="F1001" s="5814"/>
      <c r="G1001" s="5814"/>
      <c r="H1001" s="48"/>
      <c r="I1001" s="48"/>
      <c r="J1001" s="87"/>
    </row>
    <row r="1002" spans="1:11" ht="93.75" customHeight="1">
      <c r="A1002" s="5814" t="s">
        <v>26</v>
      </c>
      <c r="B1002" s="5814"/>
      <c r="C1002" s="5814"/>
      <c r="D1002" s="5814"/>
      <c r="E1002" s="5814"/>
      <c r="F1002" s="5814"/>
      <c r="G1002" s="5814"/>
      <c r="H1002" s="48"/>
      <c r="I1002" s="48"/>
      <c r="J1002" s="48"/>
    </row>
    <row r="1003" spans="1:11" ht="13.5" customHeight="1">
      <c r="A1003" s="5814" t="s">
        <v>27</v>
      </c>
      <c r="B1003" s="5814"/>
      <c r="C1003" s="5814"/>
      <c r="D1003" s="5814"/>
      <c r="E1003" s="5814"/>
      <c r="F1003" s="5814"/>
      <c r="G1003" s="5814"/>
      <c r="H1003" s="318"/>
      <c r="I1003" s="318"/>
      <c r="J1003" s="318"/>
    </row>
    <row r="1004" spans="1:11" ht="13.5" customHeight="1">
      <c r="A1004" s="5814" t="s">
        <v>28</v>
      </c>
      <c r="B1004" s="5814"/>
      <c r="C1004" s="5814"/>
      <c r="D1004" s="5814"/>
      <c r="E1004" s="5814"/>
      <c r="F1004" s="5814"/>
      <c r="G1004" s="5814"/>
      <c r="H1004" s="318"/>
      <c r="I1004" s="318"/>
      <c r="J1004" s="318"/>
    </row>
    <row r="1005" spans="1:11" ht="40.5" customHeight="1">
      <c r="A1005" s="5816" t="s">
        <v>61</v>
      </c>
      <c r="B1005" s="5816"/>
      <c r="C1005" s="5816"/>
      <c r="D1005" s="5816"/>
      <c r="E1005" s="5816"/>
      <c r="F1005" s="5816"/>
      <c r="G1005" s="5816"/>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894" t="s">
        <v>112</v>
      </c>
      <c r="B2" s="5899"/>
      <c r="C2" s="5899"/>
      <c r="D2" s="5899"/>
      <c r="E2" s="5899"/>
      <c r="F2" s="5899"/>
      <c r="G2" s="5899"/>
      <c r="H2" s="5899"/>
      <c r="I2" s="5899"/>
    </row>
    <row r="3" spans="1:255" ht="13.5" customHeight="1">
      <c r="A3" s="2353" t="s">
        <v>6929</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10491</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6930</v>
      </c>
      <c r="E16" s="3695"/>
      <c r="F16" s="3702"/>
      <c r="G16" s="3698"/>
      <c r="H16" s="3862"/>
      <c r="I16" s="3726"/>
      <c r="J16" s="512"/>
    </row>
    <row r="17" spans="1:255" s="120" customFormat="1" ht="13.5" customHeight="1">
      <c r="A17" s="3329"/>
      <c r="B17" s="3330"/>
      <c r="C17" s="3343"/>
      <c r="D17" s="3739" t="s">
        <v>6931</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11582</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6932</v>
      </c>
      <c r="E20" s="3695"/>
      <c r="F20" s="3702"/>
      <c r="G20" s="3698"/>
      <c r="H20" s="3862"/>
      <c r="I20" s="3726"/>
      <c r="J20" s="512"/>
      <c r="K20" s="514"/>
    </row>
    <row r="21" spans="1:255" s="120" customFormat="1" ht="13.5" customHeight="1">
      <c r="A21" s="3329"/>
      <c r="B21" s="3330"/>
      <c r="C21" s="3343"/>
      <c r="D21" s="3739" t="s">
        <v>6933</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6934</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6935</v>
      </c>
      <c r="E26" s="3343"/>
      <c r="F26" s="3202"/>
      <c r="G26" s="3344"/>
      <c r="H26" s="3864"/>
      <c r="I26" s="3345"/>
      <c r="J26" s="512"/>
      <c r="K26" s="4802"/>
      <c r="U26" s="159"/>
      <c r="W26" s="159"/>
    </row>
    <row r="27" spans="1:255" s="120" customFormat="1" ht="13.5" customHeight="1">
      <c r="A27" s="3329"/>
      <c r="B27" s="3330"/>
      <c r="C27" s="3343"/>
      <c r="D27" s="3739" t="s">
        <v>6936</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6937</v>
      </c>
      <c r="E30" s="3330"/>
      <c r="F30" s="3346"/>
      <c r="G30" s="3331"/>
      <c r="H30" s="3865"/>
      <c r="I30" s="3332"/>
      <c r="J30" s="278"/>
    </row>
    <row r="31" spans="1:255" s="120" customFormat="1" ht="27" customHeight="1">
      <c r="A31" s="3329"/>
      <c r="B31" s="3330"/>
      <c r="C31" s="3343"/>
      <c r="D31" s="3739" t="s">
        <v>6938</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6939</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6940</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6941</v>
      </c>
      <c r="E36" s="3743"/>
      <c r="F36" s="3744"/>
      <c r="G36" s="3745"/>
      <c r="H36" s="3867"/>
      <c r="I36" s="4530"/>
    </row>
    <row r="37" spans="1:256" s="120" customFormat="1" ht="27" customHeight="1">
      <c r="A37" s="3742"/>
      <c r="B37" s="3743"/>
      <c r="C37" s="3747"/>
      <c r="D37" s="3746" t="s">
        <v>6942</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6943</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6944</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6945</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6946</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6947</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6948</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6949</v>
      </c>
      <c r="E71" s="3343"/>
      <c r="F71" s="3202"/>
      <c r="G71" s="3344"/>
      <c r="H71" s="3864"/>
      <c r="I71" s="3345"/>
      <c r="J71" s="171"/>
      <c r="U71" s="159"/>
      <c r="W71" s="159"/>
    </row>
    <row r="72" spans="1:256" s="120" customFormat="1" ht="27" customHeight="1">
      <c r="A72" s="3329"/>
      <c r="B72" s="3330"/>
      <c r="C72" s="3343"/>
      <c r="D72" s="3739" t="s">
        <v>6950</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6951</v>
      </c>
      <c r="E75" s="3343"/>
      <c r="F75" s="3730"/>
      <c r="G75" s="3729"/>
      <c r="H75" s="3863"/>
      <c r="I75" s="4534"/>
    </row>
    <row r="76" spans="1:256" s="120" customFormat="1" ht="13.5" customHeight="1">
      <c r="A76" s="3329"/>
      <c r="B76" s="3329"/>
      <c r="C76" s="3343"/>
      <c r="D76" s="3343" t="s">
        <v>6952</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6953</v>
      </c>
      <c r="E78" s="3343"/>
      <c r="F78" s="3730"/>
      <c r="G78" s="3729"/>
      <c r="H78" s="3863"/>
      <c r="I78" s="4534"/>
    </row>
    <row r="79" spans="1:256" s="120" customFormat="1" ht="13.5" customHeight="1">
      <c r="A79" s="3329"/>
      <c r="B79" s="3329"/>
      <c r="C79" s="3343"/>
      <c r="D79" s="3710" t="s">
        <v>6954</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6955</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6956</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6957</v>
      </c>
      <c r="D89" s="3330" t="s">
        <v>6958</v>
      </c>
      <c r="E89" s="3330" t="s">
        <v>141</v>
      </c>
      <c r="F89" s="210">
        <f>ROUND(SUM(F90),3)</f>
        <v>0.22</v>
      </c>
      <c r="G89" s="3331"/>
      <c r="H89" s="3861">
        <f>ROUND(F89*G89,2)</f>
        <v>0</v>
      </c>
      <c r="I89" s="3332" t="s">
        <v>60</v>
      </c>
    </row>
    <row r="90" spans="1:23" s="158" customFormat="1" ht="13.5" customHeight="1">
      <c r="A90" s="3339"/>
      <c r="B90" s="3340"/>
      <c r="C90" s="4923"/>
      <c r="D90" s="3710" t="s">
        <v>6959</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6960</v>
      </c>
      <c r="E92" s="3330" t="s">
        <v>141</v>
      </c>
      <c r="F92" s="210">
        <f>ROUND(SUM(F93),3)</f>
        <v>66</v>
      </c>
      <c r="G92" s="3331"/>
      <c r="H92" s="3861">
        <f>ROUND(F92*G92,2)</f>
        <v>0</v>
      </c>
      <c r="I92" s="3332" t="s">
        <v>60</v>
      </c>
    </row>
    <row r="93" spans="1:23" s="158" customFormat="1" ht="13.5" customHeight="1">
      <c r="A93" s="3339"/>
      <c r="B93" s="3340"/>
      <c r="C93" s="4923"/>
      <c r="D93" s="3710" t="s">
        <v>6961</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6962</v>
      </c>
      <c r="E95" s="3330" t="s">
        <v>141</v>
      </c>
      <c r="F95" s="210">
        <f>ROUND(SUM(F96),3)</f>
        <v>2.2000000000000002</v>
      </c>
      <c r="G95" s="3331"/>
      <c r="H95" s="3861">
        <f>ROUND(F95*G95,2)</f>
        <v>0</v>
      </c>
      <c r="I95" s="3332" t="s">
        <v>863</v>
      </c>
    </row>
    <row r="96" spans="1:23" s="158" customFormat="1" ht="13.5" customHeight="1">
      <c r="A96" s="3339"/>
      <c r="B96" s="3340"/>
      <c r="C96" s="4923"/>
      <c r="D96" s="3710" t="s">
        <v>6963</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6964</v>
      </c>
      <c r="D98" s="3330" t="s">
        <v>6965</v>
      </c>
      <c r="E98" s="3330" t="s">
        <v>141</v>
      </c>
      <c r="F98" s="210">
        <f>ROUND(SUM(F99),3)</f>
        <v>1.1000000000000001</v>
      </c>
      <c r="G98" s="3331"/>
      <c r="H98" s="3861">
        <f>ROUND(F98*G98,2)</f>
        <v>0</v>
      </c>
      <c r="I98" s="3332" t="s">
        <v>60</v>
      </c>
      <c r="J98" s="562"/>
    </row>
    <row r="99" spans="1:23" s="158" customFormat="1" ht="13.5" customHeight="1">
      <c r="A99" s="3339"/>
      <c r="B99" s="3340"/>
      <c r="C99" s="4923"/>
      <c r="D99" s="3710" t="s">
        <v>6966</v>
      </c>
      <c r="E99" s="3343"/>
      <c r="F99" s="3202">
        <f>(1)*1.1</f>
        <v>1.1000000000000001</v>
      </c>
      <c r="G99" s="3344"/>
      <c r="H99" s="3864"/>
      <c r="I99" s="3345"/>
      <c r="J99" s="171"/>
      <c r="N99" s="4969"/>
      <c r="U99" s="159"/>
      <c r="W99" s="159"/>
    </row>
    <row r="100" spans="1:23" s="158" customFormat="1" ht="27" customHeight="1">
      <c r="A100" s="3339"/>
      <c r="B100" s="3340"/>
      <c r="C100" s="3341"/>
      <c r="D100" s="3343" t="s">
        <v>6967</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6968</v>
      </c>
      <c r="D101" s="3330" t="s">
        <v>6969</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6966</v>
      </c>
      <c r="E102" s="3343"/>
      <c r="F102" s="3202">
        <f>(1)*1.1</f>
        <v>1.1000000000000001</v>
      </c>
      <c r="G102" s="3344"/>
      <c r="H102" s="3864"/>
      <c r="I102" s="3345"/>
      <c r="J102" s="171"/>
      <c r="N102" s="4969"/>
      <c r="U102" s="159"/>
      <c r="W102" s="159"/>
    </row>
    <row r="103" spans="1:23" s="158" customFormat="1" ht="27" customHeight="1">
      <c r="A103" s="3339"/>
      <c r="B103" s="3340"/>
      <c r="C103" s="3341"/>
      <c r="D103" s="3343" t="s">
        <v>6967</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6970</v>
      </c>
      <c r="D104" s="3330" t="s">
        <v>6971</v>
      </c>
      <c r="E104" s="3330" t="s">
        <v>141</v>
      </c>
      <c r="F104" s="210">
        <f>ROUND(SUM(F106),3)</f>
        <v>12.65</v>
      </c>
      <c r="G104" s="3331"/>
      <c r="H104" s="3861">
        <f>ROUND(F104*G104,2)</f>
        <v>0</v>
      </c>
      <c r="I104" s="3332" t="s">
        <v>60</v>
      </c>
      <c r="J104" s="278"/>
    </row>
    <row r="105" spans="1:23" s="158" customFormat="1" ht="13.5" customHeight="1">
      <c r="A105" s="3339"/>
      <c r="B105" s="3340"/>
      <c r="C105" s="4923"/>
      <c r="D105" s="3710" t="s">
        <v>6972</v>
      </c>
      <c r="E105" s="3343"/>
      <c r="F105" s="4924"/>
      <c r="G105" s="3344"/>
      <c r="H105" s="3864"/>
      <c r="I105" s="3345"/>
      <c r="J105" s="171"/>
      <c r="U105" s="159"/>
      <c r="W105" s="159"/>
    </row>
    <row r="106" spans="1:23" s="158" customFormat="1" ht="13.5" customHeight="1">
      <c r="A106" s="3339"/>
      <c r="B106" s="3340"/>
      <c r="C106" s="4923"/>
      <c r="D106" s="3710" t="s">
        <v>11585</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6973</v>
      </c>
      <c r="E108" s="3330" t="s">
        <v>155</v>
      </c>
      <c r="F108" s="210">
        <f>ROUND(SUM(F110),3)</f>
        <v>16</v>
      </c>
      <c r="G108" s="3331"/>
      <c r="H108" s="3861">
        <f>ROUND(F108*G108,2)</f>
        <v>0</v>
      </c>
      <c r="I108" s="3332" t="s">
        <v>60</v>
      </c>
    </row>
    <row r="109" spans="1:23" s="158" customFormat="1" ht="13.5" customHeight="1">
      <c r="A109" s="3339"/>
      <c r="B109" s="3340"/>
      <c r="C109" s="4925"/>
      <c r="D109" s="3710" t="s">
        <v>6974</v>
      </c>
      <c r="E109" s="3343"/>
      <c r="F109" s="3202"/>
      <c r="G109" s="3344"/>
      <c r="H109" s="3864"/>
      <c r="I109" s="3345"/>
      <c r="J109" s="171"/>
      <c r="R109" s="4969"/>
      <c r="U109" s="159"/>
      <c r="W109" s="159"/>
    </row>
    <row r="110" spans="1:23" s="158" customFormat="1" ht="13.5" customHeight="1">
      <c r="A110" s="3339"/>
      <c r="B110" s="3340"/>
      <c r="C110" s="4925"/>
      <c r="D110" s="3710" t="s">
        <v>6975</v>
      </c>
      <c r="E110" s="3343"/>
      <c r="F110" s="3202">
        <v>16</v>
      </c>
      <c r="G110" s="3344"/>
      <c r="H110" s="3864"/>
      <c r="I110" s="3345"/>
      <c r="J110" s="781"/>
      <c r="U110" s="159"/>
      <c r="W110" s="159"/>
    </row>
    <row r="111" spans="1:23" s="158" customFormat="1" ht="27" customHeight="1">
      <c r="A111" s="3339"/>
      <c r="B111" s="3340"/>
      <c r="C111" s="4925"/>
      <c r="D111" s="3710" t="s">
        <v>6976</v>
      </c>
      <c r="E111" s="3343"/>
      <c r="F111" s="3202"/>
      <c r="G111" s="3344"/>
      <c r="H111" s="3864"/>
      <c r="I111" s="3345"/>
      <c r="J111" s="4970"/>
      <c r="U111" s="159"/>
      <c r="W111" s="159"/>
    </row>
    <row r="112" spans="1:23" s="120" customFormat="1" ht="13.5" customHeight="1">
      <c r="A112" s="3329">
        <v>31</v>
      </c>
      <c r="B112" s="3330">
        <v>721</v>
      </c>
      <c r="C112" s="3330" t="s">
        <v>6977</v>
      </c>
      <c r="D112" s="3330" t="s">
        <v>6978</v>
      </c>
      <c r="E112" s="3330" t="s">
        <v>155</v>
      </c>
      <c r="F112" s="210">
        <f>ROUND(SUM(F114),3)</f>
        <v>3</v>
      </c>
      <c r="G112" s="3331"/>
      <c r="H112" s="3861">
        <f>ROUND(F112*G112,2)</f>
        <v>0</v>
      </c>
      <c r="I112" s="3332" t="s">
        <v>60</v>
      </c>
    </row>
    <row r="113" spans="1:23" s="158" customFormat="1" ht="13.5" customHeight="1">
      <c r="A113" s="3339"/>
      <c r="B113" s="3340"/>
      <c r="C113" s="4925"/>
      <c r="D113" s="3710" t="s">
        <v>6979</v>
      </c>
      <c r="E113" s="3343"/>
      <c r="F113" s="3202"/>
      <c r="G113" s="3344"/>
      <c r="H113" s="3864"/>
      <c r="I113" s="3345"/>
      <c r="J113" s="171"/>
      <c r="R113" s="4969"/>
      <c r="U113" s="159"/>
      <c r="W113" s="159"/>
    </row>
    <row r="114" spans="1:23" s="158" customFormat="1" ht="13.5" customHeight="1">
      <c r="A114" s="3339"/>
      <c r="B114" s="3340"/>
      <c r="C114" s="4925"/>
      <c r="D114" s="3710" t="s">
        <v>6980</v>
      </c>
      <c r="E114" s="3343"/>
      <c r="F114" s="3202">
        <v>3</v>
      </c>
      <c r="G114" s="3344"/>
      <c r="H114" s="3864"/>
      <c r="I114" s="3345"/>
      <c r="J114" s="781"/>
      <c r="U114" s="159"/>
      <c r="W114" s="159"/>
    </row>
    <row r="115" spans="1:23" s="158" customFormat="1" ht="27" customHeight="1">
      <c r="A115" s="3339"/>
      <c r="B115" s="3340"/>
      <c r="C115" s="4925"/>
      <c r="D115" s="3710" t="s">
        <v>6976</v>
      </c>
      <c r="E115" s="3343"/>
      <c r="F115" s="3202"/>
      <c r="G115" s="3344"/>
      <c r="H115" s="3864"/>
      <c r="I115" s="3345"/>
      <c r="J115" s="171"/>
      <c r="U115" s="159"/>
      <c r="W115" s="159"/>
    </row>
    <row r="116" spans="1:23" s="120" customFormat="1" ht="13.5" customHeight="1">
      <c r="A116" s="3329">
        <v>32</v>
      </c>
      <c r="B116" s="3330">
        <v>721</v>
      </c>
      <c r="C116" s="3330" t="s">
        <v>945</v>
      </c>
      <c r="D116" s="3330" t="s">
        <v>6981</v>
      </c>
      <c r="E116" s="3330" t="s">
        <v>155</v>
      </c>
      <c r="F116" s="210">
        <f>ROUND(SUM(F118),3)</f>
        <v>1</v>
      </c>
      <c r="G116" s="3331"/>
      <c r="H116" s="3861">
        <f>ROUND(F116*G116,2)</f>
        <v>0</v>
      </c>
      <c r="I116" s="3332" t="s">
        <v>60</v>
      </c>
    </row>
    <row r="117" spans="1:23" s="158" customFormat="1" ht="13.5" customHeight="1">
      <c r="A117" s="3339"/>
      <c r="B117" s="3340"/>
      <c r="C117" s="4925"/>
      <c r="D117" s="3710" t="s">
        <v>6982</v>
      </c>
      <c r="E117" s="3343"/>
      <c r="F117" s="3202"/>
      <c r="G117" s="3344"/>
      <c r="H117" s="3864"/>
      <c r="I117" s="3345"/>
      <c r="J117" s="171"/>
      <c r="R117" s="4969"/>
      <c r="U117" s="159"/>
      <c r="W117" s="159"/>
    </row>
    <row r="118" spans="1:23" s="158" customFormat="1" ht="13.5" customHeight="1">
      <c r="A118" s="3339"/>
      <c r="B118" s="3340"/>
      <c r="C118" s="4925"/>
      <c r="D118" s="3710" t="s">
        <v>6983</v>
      </c>
      <c r="E118" s="3343"/>
      <c r="F118" s="3202">
        <v>1</v>
      </c>
      <c r="G118" s="3344"/>
      <c r="H118" s="3864"/>
      <c r="I118" s="3345"/>
      <c r="J118" s="171"/>
      <c r="U118" s="159"/>
      <c r="W118" s="159"/>
    </row>
    <row r="119" spans="1:23" s="158" customFormat="1" ht="27" customHeight="1">
      <c r="A119" s="3339"/>
      <c r="B119" s="3340"/>
      <c r="C119" s="4925"/>
      <c r="D119" s="3710" t="s">
        <v>6976</v>
      </c>
      <c r="E119" s="3343"/>
      <c r="F119" s="3202"/>
      <c r="G119" s="3344"/>
      <c r="H119" s="3864"/>
      <c r="I119" s="3345"/>
      <c r="J119" s="171"/>
      <c r="U119" s="159"/>
      <c r="W119" s="159"/>
    </row>
    <row r="120" spans="1:23" s="120" customFormat="1" ht="13.5" customHeight="1">
      <c r="A120" s="3329">
        <v>33</v>
      </c>
      <c r="B120" s="3330">
        <v>721</v>
      </c>
      <c r="C120" s="3330" t="s">
        <v>6984</v>
      </c>
      <c r="D120" s="3330" t="s">
        <v>6985</v>
      </c>
      <c r="E120" s="3330" t="s">
        <v>155</v>
      </c>
      <c r="F120" s="210">
        <f>ROUND(SUM(F122),3)</f>
        <v>5</v>
      </c>
      <c r="G120" s="3331"/>
      <c r="H120" s="3861">
        <f>ROUND(F120*G120,2)</f>
        <v>0</v>
      </c>
      <c r="I120" s="3332" t="s">
        <v>60</v>
      </c>
    </row>
    <row r="121" spans="1:23" s="158" customFormat="1" ht="13.5" customHeight="1">
      <c r="A121" s="3339"/>
      <c r="B121" s="3340"/>
      <c r="C121" s="4925"/>
      <c r="D121" s="3710" t="s">
        <v>6986</v>
      </c>
      <c r="E121" s="3343"/>
      <c r="F121" s="3202"/>
      <c r="G121" s="3344"/>
      <c r="H121" s="3864"/>
      <c r="I121" s="3345"/>
      <c r="J121" s="171"/>
      <c r="R121" s="4969"/>
      <c r="U121" s="159"/>
      <c r="W121" s="159"/>
    </row>
    <row r="122" spans="1:23" s="158" customFormat="1" ht="13.5" customHeight="1">
      <c r="A122" s="3339"/>
      <c r="B122" s="3340"/>
      <c r="C122" s="4925"/>
      <c r="D122" s="3710" t="s">
        <v>6987</v>
      </c>
      <c r="E122" s="3343"/>
      <c r="F122" s="3202">
        <f>5</f>
        <v>5</v>
      </c>
      <c r="G122" s="3344"/>
      <c r="H122" s="3864"/>
      <c r="I122" s="3345"/>
      <c r="J122" s="171"/>
      <c r="U122" s="159"/>
      <c r="W122" s="159"/>
    </row>
    <row r="123" spans="1:23" s="158" customFormat="1" ht="27" customHeight="1">
      <c r="A123" s="3339"/>
      <c r="B123" s="3340"/>
      <c r="C123" s="4925"/>
      <c r="D123" s="3710" t="s">
        <v>6988</v>
      </c>
      <c r="E123" s="3343"/>
      <c r="F123" s="3202"/>
      <c r="G123" s="3344"/>
      <c r="H123" s="3864"/>
      <c r="I123" s="3345"/>
      <c r="J123" s="1232"/>
      <c r="Q123" s="120"/>
      <c r="U123" s="159"/>
      <c r="W123" s="159"/>
    </row>
    <row r="124" spans="1:23" s="120" customFormat="1" ht="13.5" customHeight="1">
      <c r="A124" s="3329">
        <v>34</v>
      </c>
      <c r="B124" s="3330">
        <v>721</v>
      </c>
      <c r="C124" s="3330" t="s">
        <v>6989</v>
      </c>
      <c r="D124" s="3330" t="s">
        <v>6990</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6991</v>
      </c>
      <c r="E125" s="3330"/>
      <c r="F125" s="3346"/>
      <c r="G125" s="3331"/>
      <c r="H125" s="3865"/>
      <c r="I125" s="3332"/>
      <c r="R125" s="4971"/>
    </row>
    <row r="126" spans="1:23" s="158" customFormat="1" ht="13.5" customHeight="1">
      <c r="A126" s="3339"/>
      <c r="B126" s="3340"/>
      <c r="C126" s="4925"/>
      <c r="D126" s="3710" t="s">
        <v>6992</v>
      </c>
      <c r="E126" s="3343"/>
      <c r="F126" s="3202">
        <v>4</v>
      </c>
      <c r="G126" s="3344"/>
      <c r="H126" s="3864"/>
      <c r="I126" s="3332"/>
      <c r="R126" s="4971"/>
      <c r="U126" s="159"/>
      <c r="W126" s="159"/>
    </row>
    <row r="127" spans="1:23" s="158" customFormat="1" ht="13.5" customHeight="1">
      <c r="A127" s="3339"/>
      <c r="B127" s="3340"/>
      <c r="C127" s="4925"/>
      <c r="D127" s="3710" t="s">
        <v>6993</v>
      </c>
      <c r="E127" s="3343"/>
      <c r="F127" s="3202"/>
      <c r="G127" s="3344"/>
      <c r="H127" s="3864"/>
      <c r="I127" s="3345"/>
      <c r="J127" s="171"/>
      <c r="U127" s="159"/>
      <c r="W127" s="159"/>
    </row>
    <row r="128" spans="1:23" s="120" customFormat="1" ht="27" customHeight="1">
      <c r="A128" s="3329">
        <v>35</v>
      </c>
      <c r="B128" s="3330">
        <v>721</v>
      </c>
      <c r="C128" s="3330" t="s">
        <v>6994</v>
      </c>
      <c r="D128" s="3330" t="s">
        <v>6995</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6996</v>
      </c>
      <c r="E129" s="3330"/>
      <c r="F129" s="3346"/>
      <c r="G129" s="3331"/>
      <c r="H129" s="3865"/>
      <c r="I129" s="3332"/>
      <c r="R129" s="4971"/>
    </row>
    <row r="130" spans="1:100" s="158" customFormat="1" ht="13.5" customHeight="1">
      <c r="A130" s="3339"/>
      <c r="B130" s="3340"/>
      <c r="C130" s="4925"/>
      <c r="D130" s="3710" t="s">
        <v>6997</v>
      </c>
      <c r="E130" s="3343"/>
      <c r="F130" s="3202">
        <v>1</v>
      </c>
      <c r="G130" s="3344"/>
      <c r="H130" s="3864"/>
      <c r="I130" s="3332"/>
      <c r="J130" s="4972"/>
      <c r="R130" s="4971"/>
      <c r="U130" s="159"/>
      <c r="W130" s="159"/>
    </row>
    <row r="131" spans="1:100" s="158" customFormat="1" ht="13.5" customHeight="1">
      <c r="A131" s="3339"/>
      <c r="B131" s="3340"/>
      <c r="C131" s="4925"/>
      <c r="D131" s="3710" t="s">
        <v>6998</v>
      </c>
      <c r="E131" s="3343"/>
      <c r="F131" s="3202"/>
      <c r="G131" s="3344"/>
      <c r="H131" s="3864"/>
      <c r="I131" s="3345"/>
      <c r="J131" s="171"/>
      <c r="U131" s="159"/>
      <c r="W131" s="159"/>
    </row>
    <row r="132" spans="1:100" s="120" customFormat="1" ht="13.5" customHeight="1">
      <c r="A132" s="3329">
        <v>36</v>
      </c>
      <c r="B132" s="3330">
        <v>721</v>
      </c>
      <c r="C132" s="3330" t="s">
        <v>6999</v>
      </c>
      <c r="D132" s="3330" t="s">
        <v>7000</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7001</v>
      </c>
      <c r="E133" s="3330"/>
      <c r="F133" s="3346"/>
      <c r="G133" s="3331"/>
      <c r="H133" s="3865"/>
      <c r="I133" s="3332"/>
      <c r="Q133" s="4969"/>
      <c r="R133" s="4971"/>
    </row>
    <row r="134" spans="1:100" s="158" customFormat="1" ht="13.5" customHeight="1">
      <c r="A134" s="3339"/>
      <c r="B134" s="3340"/>
      <c r="C134" s="4925"/>
      <c r="D134" s="3710" t="s">
        <v>7002</v>
      </c>
      <c r="E134" s="3343"/>
      <c r="F134" s="3202">
        <v>1</v>
      </c>
      <c r="G134" s="3344"/>
      <c r="H134" s="3864"/>
      <c r="I134" s="3332"/>
      <c r="J134" s="1512"/>
      <c r="R134" s="4971"/>
      <c r="U134" s="159"/>
      <c r="W134" s="159"/>
    </row>
    <row r="135" spans="1:100" s="158" customFormat="1" ht="13.5" customHeight="1">
      <c r="A135" s="3339"/>
      <c r="B135" s="3340"/>
      <c r="C135" s="4925"/>
      <c r="D135" s="3710" t="s">
        <v>7003</v>
      </c>
      <c r="E135" s="3343"/>
      <c r="F135" s="3202"/>
      <c r="G135" s="3344"/>
      <c r="H135" s="3864"/>
      <c r="I135" s="3332"/>
      <c r="J135" s="2389"/>
      <c r="K135" s="1512"/>
      <c r="R135" s="4971"/>
      <c r="U135" s="159"/>
      <c r="W135" s="159"/>
    </row>
    <row r="136" spans="1:100" s="158" customFormat="1" ht="27" customHeight="1">
      <c r="A136" s="3339"/>
      <c r="B136" s="3340"/>
      <c r="C136" s="4925"/>
      <c r="D136" s="3710" t="s">
        <v>7004</v>
      </c>
      <c r="E136" s="3343"/>
      <c r="F136" s="3202"/>
      <c r="G136" s="3344"/>
      <c r="H136" s="3864"/>
      <c r="I136" s="3332"/>
      <c r="J136" s="2389"/>
      <c r="R136" s="4971"/>
      <c r="U136" s="159"/>
      <c r="W136" s="159"/>
    </row>
    <row r="137" spans="1:100" s="2391" customFormat="1" ht="13.5" customHeight="1">
      <c r="A137" s="3694">
        <v>37</v>
      </c>
      <c r="B137" s="4916">
        <v>721</v>
      </c>
      <c r="C137" s="3330" t="s">
        <v>7005</v>
      </c>
      <c r="D137" s="3695" t="s">
        <v>7006</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7007</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7008</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7009</v>
      </c>
      <c r="D140" s="3695" t="s">
        <v>7010</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7011</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10466</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7012</v>
      </c>
      <c r="D143" s="4927" t="s">
        <v>10464</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11586</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10465</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10463</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10477</v>
      </c>
      <c r="D147" s="3695" t="s">
        <v>6525</v>
      </c>
      <c r="E147" s="3695" t="s">
        <v>23</v>
      </c>
      <c r="F147" s="210">
        <f>ROUND(SUM(F148),3)</f>
        <v>1</v>
      </c>
      <c r="G147" s="3698"/>
      <c r="H147" s="3861">
        <f>ROUND(F147*G147,2)</f>
        <v>0</v>
      </c>
      <c r="I147" s="3726" t="s">
        <v>60</v>
      </c>
      <c r="J147" s="4984"/>
    </row>
    <row r="148" spans="1:121" s="2394" customFormat="1" ht="27" customHeight="1">
      <c r="A148" s="3699"/>
      <c r="B148" s="3700"/>
      <c r="C148" s="3700"/>
      <c r="D148" s="3696" t="s">
        <v>10683</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10476</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10676</v>
      </c>
      <c r="E150" s="4381"/>
      <c r="F150" s="4382"/>
      <c r="G150" s="4369"/>
      <c r="H150" s="4366"/>
      <c r="I150" s="4369"/>
      <c r="J150" s="4855"/>
      <c r="K150" s="4855"/>
      <c r="L150" s="4855"/>
    </row>
    <row r="151" spans="1:121" customFormat="1" ht="13.5" customHeight="1">
      <c r="A151" s="1560"/>
      <c r="B151" s="1449"/>
      <c r="C151" s="1449"/>
      <c r="D151" s="1062" t="s">
        <v>10677</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7013</v>
      </c>
      <c r="D153" s="3695" t="s">
        <v>6531</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7014</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6533</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7015</v>
      </c>
      <c r="E156" s="3695"/>
      <c r="F156" s="4484"/>
      <c r="G156" s="3709"/>
      <c r="H156" s="3816"/>
      <c r="I156" s="3726"/>
      <c r="J156" s="4596"/>
    </row>
    <row r="157" spans="1:121" s="2303" customFormat="1" ht="81" customHeight="1">
      <c r="A157" s="3750"/>
      <c r="B157" s="3695"/>
      <c r="C157" s="3695"/>
      <c r="D157" s="4483" t="s">
        <v>7016</v>
      </c>
      <c r="E157" s="3695"/>
      <c r="F157" s="4484"/>
      <c r="G157" s="3709"/>
      <c r="H157" s="3816"/>
      <c r="I157" s="3726"/>
      <c r="J157" s="4596"/>
    </row>
    <row r="158" spans="1:121" s="2303" customFormat="1" ht="40.5" customHeight="1">
      <c r="A158" s="3750"/>
      <c r="B158" s="3695"/>
      <c r="C158" s="3695"/>
      <c r="D158" s="4483" t="s">
        <v>10468</v>
      </c>
      <c r="E158" s="3695"/>
      <c r="F158" s="4484"/>
      <c r="G158" s="3709"/>
      <c r="H158" s="3816"/>
      <c r="I158" s="3726"/>
      <c r="J158" s="4596"/>
    </row>
    <row r="159" spans="1:121" s="2303" customFormat="1" ht="54" customHeight="1">
      <c r="A159" s="3750"/>
      <c r="B159" s="3695"/>
      <c r="C159" s="3695"/>
      <c r="D159" s="4483" t="s">
        <v>10460</v>
      </c>
      <c r="E159" s="3695"/>
      <c r="F159" s="4484"/>
      <c r="G159" s="3709"/>
      <c r="H159" s="3816"/>
      <c r="I159" s="3726"/>
      <c r="J159" s="4596"/>
    </row>
    <row r="160" spans="1:121" s="2391" customFormat="1" ht="13.5" customHeight="1">
      <c r="A160" s="3694">
        <v>42</v>
      </c>
      <c r="B160" s="4916" t="s">
        <v>1007</v>
      </c>
      <c r="C160" s="3330" t="s">
        <v>7017</v>
      </c>
      <c r="D160" s="3695" t="s">
        <v>7018</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6917</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7019</v>
      </c>
      <c r="D162" s="3695" t="s">
        <v>6535</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6536</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6537</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10676</v>
      </c>
      <c r="E165" s="4381"/>
      <c r="F165" s="4382"/>
      <c r="G165" s="4369"/>
      <c r="H165" s="4366"/>
      <c r="I165" s="4369"/>
      <c r="J165" s="4858"/>
      <c r="K165" s="4858"/>
      <c r="L165" s="4855"/>
    </row>
    <row r="166" spans="1:108" s="2303" customFormat="1" ht="40.5" customHeight="1">
      <c r="A166" s="3750"/>
      <c r="B166" s="3695"/>
      <c r="C166" s="3695"/>
      <c r="D166" s="4483" t="s">
        <v>10679</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10678</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7020</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7021</v>
      </c>
      <c r="E175" s="3695"/>
      <c r="F175" s="3702">
        <f>16</f>
        <v>16</v>
      </c>
      <c r="G175" s="3698"/>
      <c r="H175" s="3862"/>
      <c r="I175" s="3726"/>
      <c r="J175" s="2397"/>
    </row>
    <row r="176" spans="1:108" s="2393" customFormat="1" ht="13.5" customHeight="1">
      <c r="A176" s="3694"/>
      <c r="B176" s="3695"/>
      <c r="C176" s="3695"/>
      <c r="D176" s="3696" t="s">
        <v>7022</v>
      </c>
      <c r="E176" s="3695"/>
      <c r="F176" s="3702">
        <f>3</f>
        <v>3</v>
      </c>
      <c r="G176" s="3698"/>
      <c r="H176" s="3862"/>
      <c r="I176" s="3726"/>
      <c r="J176" s="2397"/>
    </row>
    <row r="177" spans="1:13" s="2393" customFormat="1" ht="13.5" customHeight="1">
      <c r="A177" s="3694"/>
      <c r="B177" s="3695"/>
      <c r="C177" s="3695"/>
      <c r="D177" s="3696" t="s">
        <v>7023</v>
      </c>
      <c r="E177" s="3695"/>
      <c r="F177" s="3702">
        <f>1</f>
        <v>1</v>
      </c>
      <c r="G177" s="3698"/>
      <c r="H177" s="3862"/>
      <c r="I177" s="3726"/>
      <c r="J177" s="2397"/>
    </row>
    <row r="178" spans="1:13" s="2393" customFormat="1" ht="13.5" customHeight="1">
      <c r="A178" s="3694"/>
      <c r="B178" s="3695"/>
      <c r="C178" s="3695"/>
      <c r="D178" s="3696" t="s">
        <v>7024</v>
      </c>
      <c r="E178" s="3695"/>
      <c r="F178" s="3702">
        <f>5</f>
        <v>5</v>
      </c>
      <c r="G178" s="3698"/>
      <c r="H178" s="3862"/>
      <c r="I178" s="3726"/>
      <c r="J178" s="2397"/>
    </row>
    <row r="179" spans="1:13" s="2393" customFormat="1" ht="13.5" customHeight="1">
      <c r="A179" s="3694"/>
      <c r="B179" s="3695"/>
      <c r="C179" s="3695"/>
      <c r="D179" s="3696" t="s">
        <v>7025</v>
      </c>
      <c r="E179" s="3695"/>
      <c r="F179" s="3702">
        <f>4</f>
        <v>4</v>
      </c>
      <c r="G179" s="3698"/>
      <c r="H179" s="3862"/>
      <c r="I179" s="3726"/>
      <c r="J179" s="2397"/>
    </row>
    <row r="180" spans="1:13" s="2393" customFormat="1" ht="13.5" customHeight="1">
      <c r="A180" s="3694"/>
      <c r="B180" s="3695"/>
      <c r="C180" s="3695"/>
      <c r="D180" s="3696" t="s">
        <v>7026</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7027</v>
      </c>
      <c r="E183" s="4934"/>
      <c r="F183" s="4937">
        <f>25</f>
        <v>25</v>
      </c>
      <c r="G183" s="4935"/>
      <c r="H183" s="3884"/>
      <c r="I183" s="3769"/>
      <c r="M183" s="4597"/>
    </row>
    <row r="184" spans="1:13" s="2398" customFormat="1" ht="13.5" customHeight="1">
      <c r="A184" s="4933"/>
      <c r="B184" s="4934"/>
      <c r="C184" s="4934"/>
      <c r="D184" s="4936" t="s">
        <v>7028</v>
      </c>
      <c r="E184" s="4934"/>
      <c r="F184" s="4937">
        <f>0.2</f>
        <v>0.2</v>
      </c>
      <c r="G184" s="4935"/>
      <c r="H184" s="3884"/>
      <c r="I184" s="3769"/>
    </row>
    <row r="185" spans="1:13" s="2398" customFormat="1" ht="13.5" customHeight="1">
      <c r="A185" s="4933"/>
      <c r="B185" s="4934"/>
      <c r="C185" s="4934"/>
      <c r="D185" s="4936" t="s">
        <v>7029</v>
      </c>
      <c r="E185" s="4934"/>
      <c r="F185" s="4937">
        <f>60</f>
        <v>60</v>
      </c>
      <c r="G185" s="4935"/>
      <c r="H185" s="3884"/>
      <c r="I185" s="3769"/>
      <c r="M185" s="4597"/>
    </row>
    <row r="186" spans="1:13" s="2398" customFormat="1" ht="13.5" customHeight="1">
      <c r="A186" s="4933">
        <v>48</v>
      </c>
      <c r="B186" s="4934">
        <v>783</v>
      </c>
      <c r="C186" s="4934">
        <v>783614671</v>
      </c>
      <c r="D186" s="4934" t="s">
        <v>7030</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7031</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7021</v>
      </c>
      <c r="E191" s="3695"/>
      <c r="F191" s="3702">
        <f>16</f>
        <v>16</v>
      </c>
      <c r="G191" s="3698"/>
      <c r="H191" s="3862"/>
      <c r="I191" s="3726"/>
      <c r="J191" s="2397"/>
    </row>
    <row r="192" spans="1:13" s="2393" customFormat="1" ht="13.5" customHeight="1">
      <c r="A192" s="3694"/>
      <c r="B192" s="3695"/>
      <c r="C192" s="3695"/>
      <c r="D192" s="3696" t="s">
        <v>7022</v>
      </c>
      <c r="E192" s="3695"/>
      <c r="F192" s="3702">
        <f>3</f>
        <v>3</v>
      </c>
      <c r="G192" s="3698"/>
      <c r="H192" s="3862"/>
      <c r="I192" s="3726"/>
      <c r="J192" s="2397"/>
    </row>
    <row r="193" spans="1:10" s="2393" customFormat="1" ht="13.5" customHeight="1">
      <c r="A193" s="3694"/>
      <c r="B193" s="3695"/>
      <c r="C193" s="3695"/>
      <c r="D193" s="3696" t="s">
        <v>7023</v>
      </c>
      <c r="E193" s="3695"/>
      <c r="F193" s="3702">
        <f>1</f>
        <v>1</v>
      </c>
      <c r="G193" s="3698"/>
      <c r="H193" s="3862"/>
      <c r="I193" s="3726"/>
      <c r="J193" s="2397"/>
    </row>
    <row r="194" spans="1:10" s="2393" customFormat="1" ht="13.5" customHeight="1">
      <c r="A194" s="3694"/>
      <c r="B194" s="3695"/>
      <c r="C194" s="3695"/>
      <c r="D194" s="3696" t="s">
        <v>7024</v>
      </c>
      <c r="E194" s="3695"/>
      <c r="F194" s="3702">
        <f>5</f>
        <v>5</v>
      </c>
      <c r="G194" s="3698"/>
      <c r="H194" s="3862"/>
      <c r="I194" s="3726"/>
      <c r="J194" s="2397"/>
    </row>
    <row r="195" spans="1:10" s="2393" customFormat="1" ht="13.5" customHeight="1">
      <c r="A195" s="3694"/>
      <c r="B195" s="3695"/>
      <c r="C195" s="3695"/>
      <c r="D195" s="3696" t="s">
        <v>7025</v>
      </c>
      <c r="E195" s="3695"/>
      <c r="F195" s="3702">
        <f>4</f>
        <v>4</v>
      </c>
      <c r="G195" s="3698"/>
      <c r="H195" s="3862"/>
      <c r="I195" s="3726"/>
      <c r="J195" s="2397"/>
    </row>
    <row r="196" spans="1:10" s="2393" customFormat="1" ht="13.5" customHeight="1">
      <c r="A196" s="3694"/>
      <c r="B196" s="3695"/>
      <c r="C196" s="3695"/>
      <c r="D196" s="3696" t="s">
        <v>7026</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7032</v>
      </c>
      <c r="E199" s="4934"/>
      <c r="F199" s="4937">
        <f>25</f>
        <v>25</v>
      </c>
      <c r="G199" s="4935"/>
      <c r="H199" s="3884"/>
      <c r="I199" s="3769"/>
    </row>
    <row r="200" spans="1:10" s="2398" customFormat="1" ht="13.5" customHeight="1">
      <c r="A200" s="4933"/>
      <c r="B200" s="4934"/>
      <c r="C200" s="4934"/>
      <c r="D200" s="4936" t="s">
        <v>7033</v>
      </c>
      <c r="E200" s="4934"/>
      <c r="F200" s="4937">
        <f>0.2</f>
        <v>0.2</v>
      </c>
      <c r="G200" s="4935"/>
      <c r="H200" s="3884"/>
      <c r="I200" s="3769"/>
    </row>
    <row r="201" spans="1:10" s="2398" customFormat="1" ht="13.5" customHeight="1">
      <c r="A201" s="4933"/>
      <c r="B201" s="4934"/>
      <c r="C201" s="4934"/>
      <c r="D201" s="4936" t="s">
        <v>7034</v>
      </c>
      <c r="E201" s="4934"/>
      <c r="F201" s="4937">
        <f>60</f>
        <v>60</v>
      </c>
      <c r="G201" s="4935"/>
      <c r="H201" s="3884"/>
      <c r="I201" s="3769"/>
    </row>
    <row r="202" spans="1:10" s="2398" customFormat="1" ht="13.5" customHeight="1">
      <c r="A202" s="4933">
        <v>51</v>
      </c>
      <c r="B202" s="4934">
        <v>783</v>
      </c>
      <c r="C202" s="4934">
        <v>783615571</v>
      </c>
      <c r="D202" s="4934" t="s">
        <v>7035</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7036</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7021</v>
      </c>
      <c r="E207" s="3695"/>
      <c r="F207" s="3702">
        <f>16</f>
        <v>16</v>
      </c>
      <c r="G207" s="3698"/>
      <c r="H207" s="3862"/>
      <c r="I207" s="3726"/>
      <c r="J207" s="2397"/>
    </row>
    <row r="208" spans="1:10" s="2393" customFormat="1" ht="13.5" customHeight="1">
      <c r="A208" s="3694"/>
      <c r="B208" s="3695"/>
      <c r="C208" s="3695"/>
      <c r="D208" s="3696" t="s">
        <v>7022</v>
      </c>
      <c r="E208" s="3695"/>
      <c r="F208" s="3702">
        <f>3</f>
        <v>3</v>
      </c>
      <c r="G208" s="3698"/>
      <c r="H208" s="3862"/>
      <c r="I208" s="3726"/>
      <c r="J208" s="2397"/>
    </row>
    <row r="209" spans="1:10" s="2393" customFormat="1" ht="13.5" customHeight="1">
      <c r="A209" s="3694"/>
      <c r="B209" s="3695"/>
      <c r="C209" s="3695"/>
      <c r="D209" s="3696" t="s">
        <v>7023</v>
      </c>
      <c r="E209" s="3695"/>
      <c r="F209" s="3702">
        <f>1</f>
        <v>1</v>
      </c>
      <c r="G209" s="3698"/>
      <c r="H209" s="3862"/>
      <c r="I209" s="3726"/>
      <c r="J209" s="2397"/>
    </row>
    <row r="210" spans="1:10" s="2393" customFormat="1" ht="13.5" customHeight="1">
      <c r="A210" s="3694"/>
      <c r="B210" s="3695"/>
      <c r="C210" s="3695"/>
      <c r="D210" s="3696" t="s">
        <v>7024</v>
      </c>
      <c r="E210" s="3695"/>
      <c r="F210" s="3702">
        <f>5</f>
        <v>5</v>
      </c>
      <c r="G210" s="3698"/>
      <c r="H210" s="3862"/>
      <c r="I210" s="3726"/>
      <c r="J210" s="2397"/>
    </row>
    <row r="211" spans="1:10" s="2393" customFormat="1" ht="13.5" customHeight="1">
      <c r="A211" s="3694"/>
      <c r="B211" s="3695"/>
      <c r="C211" s="3695"/>
      <c r="D211" s="3696" t="s">
        <v>7025</v>
      </c>
      <c r="E211" s="3695"/>
      <c r="F211" s="3702">
        <f>4</f>
        <v>4</v>
      </c>
      <c r="G211" s="3698"/>
      <c r="H211" s="3862"/>
      <c r="I211" s="3726"/>
      <c r="J211" s="2397"/>
    </row>
    <row r="212" spans="1:10" s="2393" customFormat="1" ht="13.5" customHeight="1">
      <c r="A212" s="3694"/>
      <c r="B212" s="3695"/>
      <c r="C212" s="3695"/>
      <c r="D212" s="3696" t="s">
        <v>7026</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7037</v>
      </c>
      <c r="E215" s="4934"/>
      <c r="F215" s="4937">
        <f>25</f>
        <v>25</v>
      </c>
      <c r="G215" s="4935"/>
      <c r="H215" s="3884"/>
      <c r="I215" s="3769"/>
    </row>
    <row r="216" spans="1:10" s="2398" customFormat="1" ht="13.5" customHeight="1">
      <c r="A216" s="4933"/>
      <c r="B216" s="4934"/>
      <c r="C216" s="4934"/>
      <c r="D216" s="4936" t="s">
        <v>7038</v>
      </c>
      <c r="E216" s="4934"/>
      <c r="F216" s="4937">
        <f>0.2</f>
        <v>0.2</v>
      </c>
      <c r="G216" s="4935"/>
      <c r="H216" s="3884"/>
      <c r="I216" s="3769"/>
    </row>
    <row r="217" spans="1:10" s="2398" customFormat="1" ht="13.5" customHeight="1">
      <c r="A217" s="4933"/>
      <c r="B217" s="4934"/>
      <c r="C217" s="4934"/>
      <c r="D217" s="4936" t="s">
        <v>7039</v>
      </c>
      <c r="E217" s="4934"/>
      <c r="F217" s="4937">
        <f>60</f>
        <v>60</v>
      </c>
      <c r="G217" s="4935"/>
      <c r="H217" s="3884"/>
      <c r="I217" s="3769"/>
    </row>
    <row r="218" spans="1:10" s="2398" customFormat="1" ht="13.5" customHeight="1">
      <c r="A218" s="4939">
        <v>54</v>
      </c>
      <c r="B218" s="4940">
        <v>783</v>
      </c>
      <c r="C218" s="4940">
        <v>783617651</v>
      </c>
      <c r="D218" s="4940" t="s">
        <v>7040</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7041</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7042</v>
      </c>
      <c r="E229" s="4940"/>
      <c r="F229" s="4942">
        <v>1</v>
      </c>
      <c r="G229" s="4941"/>
      <c r="H229" s="3885"/>
      <c r="I229" s="2396"/>
      <c r="J229" s="1232"/>
    </row>
    <row r="230" spans="1:10" s="2398" customFormat="1" ht="13.5" customHeight="1">
      <c r="A230" s="4939"/>
      <c r="B230" s="4940"/>
      <c r="C230" s="4940"/>
      <c r="D230" s="2399" t="s">
        <v>7043</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7044</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7045</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7046</v>
      </c>
      <c r="E239" s="4940"/>
      <c r="F239" s="4942">
        <f>25</f>
        <v>25</v>
      </c>
      <c r="G239" s="4941"/>
      <c r="H239" s="3885"/>
      <c r="I239" s="2396"/>
    </row>
    <row r="240" spans="1:10" s="2398" customFormat="1" ht="13.5" customHeight="1">
      <c r="A240" s="4939"/>
      <c r="B240" s="4940"/>
      <c r="C240" s="4940"/>
      <c r="D240" s="2399" t="s">
        <v>7047</v>
      </c>
      <c r="E240" s="4940"/>
      <c r="F240" s="4942">
        <f>0.2</f>
        <v>0.2</v>
      </c>
      <c r="G240" s="4941"/>
      <c r="H240" s="3885"/>
      <c r="I240" s="2396"/>
    </row>
    <row r="241" spans="1:10" s="2398" customFormat="1" ht="13.5" customHeight="1">
      <c r="A241" s="4939"/>
      <c r="B241" s="4940"/>
      <c r="C241" s="4940"/>
      <c r="D241" s="2399" t="s">
        <v>7048</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7049</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7050</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7051</v>
      </c>
      <c r="D252" s="2374" t="s">
        <v>7052</v>
      </c>
      <c r="E252" s="2374" t="s">
        <v>141</v>
      </c>
      <c r="F252" s="210">
        <f>ROUND(SUM(F254),3)</f>
        <v>1.4</v>
      </c>
      <c r="G252" s="4943"/>
      <c r="H252" s="3789">
        <f>ROUND(F252*G252,2)</f>
        <v>0</v>
      </c>
      <c r="I252" s="2380" t="s">
        <v>644</v>
      </c>
      <c r="J252" s="2356"/>
    </row>
    <row r="253" spans="1:10" s="2303" customFormat="1" ht="27" customHeight="1">
      <c r="A253" s="2382"/>
      <c r="B253" s="2382"/>
      <c r="C253" s="2377"/>
      <c r="D253" s="2377" t="s">
        <v>7053</v>
      </c>
      <c r="E253" s="2377"/>
      <c r="F253" s="2378"/>
      <c r="G253" s="4949"/>
      <c r="H253" s="3799"/>
      <c r="I253" s="2401"/>
      <c r="J253" s="2356"/>
    </row>
    <row r="254" spans="1:10" s="2398" customFormat="1" ht="13.5" customHeight="1">
      <c r="A254" s="4939"/>
      <c r="B254" s="4940"/>
      <c r="C254" s="4940"/>
      <c r="D254" s="2399" t="s">
        <v>7054</v>
      </c>
      <c r="E254" s="4940"/>
      <c r="F254" s="4942">
        <f>1.4</f>
        <v>1.4</v>
      </c>
      <c r="G254" s="4941"/>
      <c r="H254" s="3885"/>
      <c r="I254" s="2396"/>
    </row>
    <row r="255" spans="1:10" s="2398" customFormat="1" ht="13.5" customHeight="1">
      <c r="A255" s="4939"/>
      <c r="B255" s="4940"/>
      <c r="C255" s="4940"/>
      <c r="D255" s="2399" t="s">
        <v>7055</v>
      </c>
      <c r="E255" s="4940"/>
      <c r="F255" s="4942"/>
      <c r="G255" s="4941"/>
      <c r="H255" s="3885"/>
      <c r="I255" s="2396"/>
    </row>
    <row r="256" spans="1:10" s="120" customFormat="1" ht="13.5" customHeight="1">
      <c r="A256" s="727">
        <v>64</v>
      </c>
      <c r="B256" s="140">
        <v>140</v>
      </c>
      <c r="C256" s="140" t="s">
        <v>7056</v>
      </c>
      <c r="D256" s="140" t="s">
        <v>7057</v>
      </c>
      <c r="E256" s="140" t="s">
        <v>141</v>
      </c>
      <c r="F256" s="1758">
        <f>ROUND(SUM(F258),3)</f>
        <v>1.54</v>
      </c>
      <c r="G256" s="142"/>
      <c r="H256" s="3793">
        <f>ROUND(F256*G256,2)</f>
        <v>0</v>
      </c>
      <c r="I256" s="143" t="s">
        <v>644</v>
      </c>
    </row>
    <row r="257" spans="1:17" s="120" customFormat="1" ht="13.5" customHeight="1">
      <c r="A257" s="727"/>
      <c r="B257" s="140"/>
      <c r="C257" s="140"/>
      <c r="D257" s="146" t="s">
        <v>7058</v>
      </c>
      <c r="E257" s="140"/>
      <c r="F257" s="4950"/>
      <c r="G257" s="142"/>
      <c r="H257" s="3888"/>
      <c r="I257" s="143"/>
      <c r="Q257" s="4971"/>
    </row>
    <row r="258" spans="1:17" s="120" customFormat="1" ht="13.5" customHeight="1">
      <c r="A258" s="727"/>
      <c r="B258" s="140"/>
      <c r="C258" s="417"/>
      <c r="D258" s="146" t="s">
        <v>7059</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7060</v>
      </c>
      <c r="E259" s="2374" t="s">
        <v>141</v>
      </c>
      <c r="F259" s="210">
        <f>ROUND(SUM(F261),3)</f>
        <v>5.2</v>
      </c>
      <c r="G259" s="4943"/>
      <c r="H259" s="3789">
        <f>ROUND(F259*G259,2)</f>
        <v>0</v>
      </c>
      <c r="I259" s="2380" t="s">
        <v>142</v>
      </c>
      <c r="J259" s="2356"/>
    </row>
    <row r="260" spans="1:17" s="2303" customFormat="1" ht="13.5" customHeight="1">
      <c r="A260" s="2382"/>
      <c r="B260" s="2382"/>
      <c r="C260" s="2377"/>
      <c r="D260" s="2377" t="s">
        <v>7061</v>
      </c>
      <c r="E260" s="2377"/>
      <c r="F260" s="2378"/>
      <c r="G260" s="4949"/>
      <c r="H260" s="3799"/>
      <c r="I260" s="2401"/>
      <c r="J260" s="2356"/>
    </row>
    <row r="261" spans="1:17" s="2398" customFormat="1" ht="13.5" customHeight="1">
      <c r="A261" s="4939"/>
      <c r="B261" s="4940"/>
      <c r="C261" s="4940"/>
      <c r="D261" s="2399" t="s">
        <v>7062</v>
      </c>
      <c r="E261" s="4940"/>
      <c r="F261" s="4942">
        <f>5.2</f>
        <v>5.2</v>
      </c>
      <c r="G261" s="4941"/>
      <c r="H261" s="3885"/>
      <c r="I261" s="2396"/>
    </row>
    <row r="262" spans="1:17" s="2398" customFormat="1" ht="13.5" customHeight="1">
      <c r="A262" s="4939"/>
      <c r="B262" s="4940"/>
      <c r="C262" s="4940"/>
      <c r="D262" s="2399" t="s">
        <v>7055</v>
      </c>
      <c r="E262" s="4940"/>
      <c r="F262" s="4942"/>
      <c r="G262" s="4941"/>
      <c r="H262" s="3885"/>
      <c r="I262" s="2396"/>
    </row>
    <row r="263" spans="1:17" s="120" customFormat="1" ht="13.5" customHeight="1">
      <c r="A263" s="727">
        <v>66</v>
      </c>
      <c r="B263" s="140">
        <v>286</v>
      </c>
      <c r="C263" s="140" t="s">
        <v>7063</v>
      </c>
      <c r="D263" s="140" t="s">
        <v>7064</v>
      </c>
      <c r="E263" s="140" t="s">
        <v>141</v>
      </c>
      <c r="F263" s="1758">
        <f>ROUND(SUM(F265),3)</f>
        <v>5.72</v>
      </c>
      <c r="G263" s="142"/>
      <c r="H263" s="3793">
        <f>ROUND(F263*G263,2)</f>
        <v>0</v>
      </c>
      <c r="I263" s="143" t="s">
        <v>644</v>
      </c>
    </row>
    <row r="264" spans="1:17" s="120" customFormat="1" ht="27" customHeight="1">
      <c r="A264" s="727"/>
      <c r="B264" s="140"/>
      <c r="C264" s="140"/>
      <c r="D264" s="146" t="s">
        <v>7065</v>
      </c>
      <c r="E264" s="140"/>
      <c r="F264" s="4950"/>
      <c r="G264" s="142"/>
      <c r="H264" s="3888"/>
      <c r="I264" s="143"/>
      <c r="J264" s="900"/>
      <c r="P264" s="4997"/>
      <c r="Q264" s="4997"/>
    </row>
    <row r="265" spans="1:17" s="120" customFormat="1" ht="13.5" customHeight="1">
      <c r="A265" s="727"/>
      <c r="B265" s="140"/>
      <c r="C265" s="417"/>
      <c r="D265" s="146" t="s">
        <v>7066</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7067</v>
      </c>
      <c r="E268" s="4940"/>
      <c r="F268" s="4942">
        <f>25</f>
        <v>25</v>
      </c>
      <c r="G268" s="4941"/>
      <c r="H268" s="3885"/>
      <c r="I268" s="2396"/>
    </row>
    <row r="269" spans="1:17" s="2398" customFormat="1" ht="13.5" customHeight="1">
      <c r="A269" s="4939"/>
      <c r="B269" s="4940"/>
      <c r="C269" s="4940"/>
      <c r="D269" s="2399" t="s">
        <v>7068</v>
      </c>
      <c r="E269" s="4940"/>
      <c r="F269" s="4942">
        <f>0.2</f>
        <v>0.2</v>
      </c>
      <c r="G269" s="4941"/>
      <c r="H269" s="3885"/>
      <c r="I269" s="2396"/>
    </row>
    <row r="270" spans="1:17" s="2398" customFormat="1" ht="13.5" customHeight="1">
      <c r="A270" s="4939"/>
      <c r="B270" s="4940"/>
      <c r="C270" s="4940"/>
      <c r="D270" s="2399" t="s">
        <v>7069</v>
      </c>
      <c r="E270" s="4940"/>
      <c r="F270" s="4942">
        <f>60</f>
        <v>60</v>
      </c>
      <c r="G270" s="4941"/>
      <c r="H270" s="3885"/>
      <c r="I270" s="2396"/>
    </row>
    <row r="271" spans="1:17" s="2398" customFormat="1" ht="13.5" customHeight="1">
      <c r="A271" s="4939"/>
      <c r="B271" s="4940"/>
      <c r="C271" s="4940"/>
      <c r="D271" s="2399" t="s">
        <v>7070</v>
      </c>
      <c r="E271" s="4940"/>
      <c r="F271" s="4942">
        <f>1.4</f>
        <v>1.4</v>
      </c>
      <c r="G271" s="4941"/>
      <c r="H271" s="3885"/>
      <c r="I271" s="2396"/>
    </row>
    <row r="272" spans="1:17" s="2398" customFormat="1" ht="13.5" customHeight="1">
      <c r="A272" s="4939"/>
      <c r="B272" s="4940"/>
      <c r="C272" s="4940"/>
      <c r="D272" s="2399" t="s">
        <v>7071</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900" t="s">
        <v>99</v>
      </c>
      <c r="B277" s="5901"/>
      <c r="C277" s="5902"/>
      <c r="D277" s="2412" t="s">
        <v>10499</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814" t="s">
        <v>308</v>
      </c>
      <c r="B280" s="5814"/>
      <c r="C280" s="5814"/>
      <c r="D280" s="5814"/>
      <c r="E280" s="5814"/>
      <c r="F280" s="5814"/>
      <c r="G280" s="5814"/>
      <c r="H280" s="48"/>
      <c r="I280" s="2366"/>
    </row>
    <row r="281" spans="1:20" ht="93.75" customHeight="1">
      <c r="A281" s="5814" t="s">
        <v>26</v>
      </c>
      <c r="B281" s="5814"/>
      <c r="C281" s="5814"/>
      <c r="D281" s="5814"/>
      <c r="E281" s="5814"/>
      <c r="F281" s="5814"/>
      <c r="G281" s="5814"/>
      <c r="H281" s="48"/>
      <c r="I281" s="48"/>
    </row>
    <row r="282" spans="1:20" ht="13.5" customHeight="1">
      <c r="A282" s="5814" t="s">
        <v>27</v>
      </c>
      <c r="B282" s="5814"/>
      <c r="C282" s="5814"/>
      <c r="D282" s="5814"/>
      <c r="E282" s="5814"/>
      <c r="F282" s="5814"/>
      <c r="G282" s="5814"/>
      <c r="H282" s="318"/>
      <c r="I282" s="318"/>
    </row>
    <row r="283" spans="1:20" ht="13.5" customHeight="1">
      <c r="A283" s="5814" t="s">
        <v>28</v>
      </c>
      <c r="B283" s="5814"/>
      <c r="C283" s="5814"/>
      <c r="D283" s="5814"/>
      <c r="E283" s="5814"/>
      <c r="F283" s="5814"/>
      <c r="G283" s="5814"/>
      <c r="H283" s="318"/>
      <c r="I283" s="318"/>
    </row>
    <row r="284" spans="1:20" ht="40.5" customHeight="1">
      <c r="A284" s="5816" t="s">
        <v>61</v>
      </c>
      <c r="B284" s="5816"/>
      <c r="C284" s="5816"/>
      <c r="D284" s="5816"/>
      <c r="E284" s="5816"/>
      <c r="F284" s="5816"/>
      <c r="G284" s="5816"/>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election activeCell="G18" sqref="G18"/>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894" t="s">
        <v>112</v>
      </c>
      <c r="B2" s="5907"/>
      <c r="C2" s="5907"/>
      <c r="D2" s="5907"/>
      <c r="E2" s="5907"/>
      <c r="F2" s="5907"/>
      <c r="G2" s="5907"/>
      <c r="H2" s="5907"/>
      <c r="I2" s="5907"/>
      <c r="J2" s="5907"/>
      <c r="K2" s="5007"/>
    </row>
    <row r="3" spans="1:99" ht="13.5" customHeight="1">
      <c r="A3" s="2531" t="s">
        <v>8983</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10491</v>
      </c>
      <c r="I5" s="3786" t="s">
        <v>10492</v>
      </c>
      <c r="J5" s="2536" t="s">
        <v>22</v>
      </c>
      <c r="K5" s="5012"/>
      <c r="L5" s="2588"/>
    </row>
    <row r="6" spans="1:99">
      <c r="A6" s="2536" t="s">
        <v>133</v>
      </c>
      <c r="B6" s="2536" t="s">
        <v>134</v>
      </c>
      <c r="C6" s="2536" t="s">
        <v>854</v>
      </c>
      <c r="D6" s="2536" t="s">
        <v>856</v>
      </c>
      <c r="E6" s="2536" t="s">
        <v>858</v>
      </c>
      <c r="F6" s="2538" t="s">
        <v>860</v>
      </c>
      <c r="G6" s="2536" t="s">
        <v>2097</v>
      </c>
      <c r="H6" s="3785" t="s">
        <v>10489</v>
      </c>
      <c r="I6" s="3786" t="s">
        <v>10490</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8984</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8985</v>
      </c>
      <c r="D9" s="3526" t="s">
        <v>8986</v>
      </c>
      <c r="E9" s="3526" t="s">
        <v>155</v>
      </c>
      <c r="F9" s="3527">
        <f>ROUND(SUM(F10),3)</f>
        <v>1</v>
      </c>
      <c r="G9" s="3528"/>
      <c r="H9" s="3904">
        <f>ROUND(F9*G9,2)</f>
        <v>0</v>
      </c>
      <c r="I9" s="3925"/>
      <c r="J9" s="3529" t="s">
        <v>644</v>
      </c>
      <c r="K9" s="5015"/>
      <c r="M9" s="5016"/>
    </row>
    <row r="10" spans="1:99" customFormat="1" ht="13.5" customHeight="1">
      <c r="A10" s="3525"/>
      <c r="B10" s="3123"/>
      <c r="C10" s="3526"/>
      <c r="D10" s="3548" t="s">
        <v>8987</v>
      </c>
      <c r="E10" s="3526"/>
      <c r="F10" s="3530">
        <v>1</v>
      </c>
      <c r="G10" s="3528"/>
      <c r="H10" s="3905"/>
      <c r="I10" s="3926"/>
      <c r="J10" s="3529"/>
      <c r="M10" s="5014"/>
    </row>
    <row r="11" spans="1:99" s="1277" customFormat="1" ht="67.5" customHeight="1">
      <c r="A11" s="3531"/>
      <c r="B11" s="3532"/>
      <c r="C11" s="3532"/>
      <c r="D11" s="3533" t="s">
        <v>8988</v>
      </c>
      <c r="E11" s="3532"/>
      <c r="F11" s="3668"/>
      <c r="G11" s="3534"/>
      <c r="H11" s="3906"/>
      <c r="I11" s="3927"/>
      <c r="J11" s="3535"/>
      <c r="K11" s="5017"/>
      <c r="L11" s="1653"/>
      <c r="M11" s="5018"/>
      <c r="R11" s="5019"/>
    </row>
    <row r="12" spans="1:99" s="1277" customFormat="1" ht="40.5" customHeight="1">
      <c r="A12" s="3531"/>
      <c r="B12" s="3532"/>
      <c r="C12" s="3532"/>
      <c r="D12" s="3533" t="s">
        <v>8989</v>
      </c>
      <c r="E12" s="3532"/>
      <c r="F12" s="3530"/>
      <c r="G12" s="3534"/>
      <c r="H12" s="3906"/>
      <c r="I12" s="3927"/>
      <c r="J12" s="3535"/>
      <c r="K12" s="5020"/>
      <c r="L12" s="5908"/>
      <c r="M12" s="5908"/>
      <c r="R12" s="5019"/>
    </row>
    <row r="13" spans="1:99" s="1277" customFormat="1" ht="54" customHeight="1">
      <c r="A13" s="3531"/>
      <c r="B13" s="3532"/>
      <c r="C13" s="3532"/>
      <c r="D13" s="3533" t="s">
        <v>8990</v>
      </c>
      <c r="E13" s="3532"/>
      <c r="F13" s="3530"/>
      <c r="G13" s="3534"/>
      <c r="H13" s="3906"/>
      <c r="I13" s="3927"/>
      <c r="J13" s="3535"/>
      <c r="K13" s="5021"/>
      <c r="L13" s="1470"/>
      <c r="M13" s="3045"/>
      <c r="R13" s="5019"/>
    </row>
    <row r="14" spans="1:99" s="2595" customFormat="1" ht="13.5" customHeight="1">
      <c r="A14" s="3525"/>
      <c r="B14" s="3536"/>
      <c r="C14" s="3536"/>
      <c r="D14" s="3548" t="s">
        <v>8991</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11740</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8992</v>
      </c>
      <c r="D16" s="3526" t="s">
        <v>8993</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8987</v>
      </c>
      <c r="E17" s="3526"/>
      <c r="F17" s="3530">
        <v>1</v>
      </c>
      <c r="G17" s="3528"/>
      <c r="H17" s="3905"/>
      <c r="I17" s="3926"/>
      <c r="J17" s="3529"/>
      <c r="M17" s="5014"/>
    </row>
    <row r="18" spans="1:68" s="1277" customFormat="1" ht="67.5" customHeight="1">
      <c r="A18" s="3531"/>
      <c r="B18" s="3532"/>
      <c r="C18" s="3532"/>
      <c r="D18" s="3533" t="s">
        <v>8994</v>
      </c>
      <c r="E18" s="3532"/>
      <c r="F18" s="3668"/>
      <c r="G18" s="3534"/>
      <c r="H18" s="3906"/>
      <c r="I18" s="3927"/>
      <c r="J18" s="3535"/>
      <c r="K18" s="5017"/>
      <c r="L18" s="1653"/>
      <c r="M18" s="5018"/>
      <c r="R18" s="5019"/>
    </row>
    <row r="19" spans="1:68" s="1277" customFormat="1" ht="40.5" customHeight="1">
      <c r="A19" s="3531"/>
      <c r="B19" s="3532"/>
      <c r="C19" s="3532"/>
      <c r="D19" s="3533" t="s">
        <v>8995</v>
      </c>
      <c r="E19" s="3532"/>
      <c r="F19" s="3530"/>
      <c r="G19" s="3534"/>
      <c r="H19" s="3906"/>
      <c r="I19" s="3927"/>
      <c r="J19" s="3535"/>
      <c r="K19" s="5020"/>
      <c r="L19" s="5908"/>
      <c r="M19" s="5908"/>
      <c r="R19" s="5019"/>
    </row>
    <row r="20" spans="1:68" s="1277" customFormat="1" ht="54" customHeight="1">
      <c r="A20" s="3531"/>
      <c r="B20" s="3532"/>
      <c r="C20" s="3532"/>
      <c r="D20" s="3533" t="s">
        <v>8990</v>
      </c>
      <c r="E20" s="3532"/>
      <c r="F20" s="3530"/>
      <c r="G20" s="3534"/>
      <c r="H20" s="3906"/>
      <c r="I20" s="3927"/>
      <c r="J20" s="3535"/>
      <c r="K20" s="5021"/>
      <c r="L20" s="1470"/>
      <c r="M20" s="3045"/>
      <c r="R20" s="5019"/>
    </row>
    <row r="21" spans="1:68" s="2595" customFormat="1" ht="13.5" customHeight="1">
      <c r="A21" s="3525"/>
      <c r="B21" s="3536"/>
      <c r="C21" s="3536"/>
      <c r="D21" s="3548" t="s">
        <v>8991</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11740</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8996</v>
      </c>
      <c r="D23" s="3526" t="s">
        <v>8997</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8987</v>
      </c>
      <c r="E24" s="3526"/>
      <c r="F24" s="3530">
        <v>1</v>
      </c>
      <c r="G24" s="3528"/>
      <c r="H24" s="3905"/>
      <c r="I24" s="3926"/>
      <c r="J24" s="3529"/>
      <c r="M24" s="5014"/>
    </row>
    <row r="25" spans="1:68" s="1277" customFormat="1" ht="67.5" customHeight="1">
      <c r="A25" s="3531"/>
      <c r="B25" s="3532"/>
      <c r="C25" s="3532"/>
      <c r="D25" s="3533" t="s">
        <v>8998</v>
      </c>
      <c r="E25" s="3532"/>
      <c r="F25" s="3668"/>
      <c r="G25" s="3534"/>
      <c r="H25" s="3906"/>
      <c r="I25" s="3927"/>
      <c r="J25" s="3535"/>
      <c r="K25" s="5017"/>
      <c r="L25" s="1653"/>
      <c r="M25" s="5018"/>
      <c r="R25" s="5019"/>
    </row>
    <row r="26" spans="1:68" s="1277" customFormat="1" ht="40.5" customHeight="1">
      <c r="A26" s="3531"/>
      <c r="B26" s="3532"/>
      <c r="C26" s="3532"/>
      <c r="D26" s="3533" t="s">
        <v>8999</v>
      </c>
      <c r="E26" s="3532"/>
      <c r="F26" s="3530"/>
      <c r="G26" s="3534"/>
      <c r="H26" s="3906"/>
      <c r="I26" s="3927"/>
      <c r="J26" s="3535"/>
      <c r="K26" s="5020"/>
      <c r="L26" s="5908"/>
      <c r="M26" s="5908"/>
      <c r="R26" s="5019"/>
    </row>
    <row r="27" spans="1:68" s="1277" customFormat="1" ht="54" customHeight="1">
      <c r="A27" s="3531"/>
      <c r="B27" s="3532"/>
      <c r="C27" s="3532"/>
      <c r="D27" s="3533" t="s">
        <v>8990</v>
      </c>
      <c r="E27" s="3532"/>
      <c r="F27" s="3530"/>
      <c r="G27" s="3534"/>
      <c r="H27" s="3906"/>
      <c r="I27" s="3927"/>
      <c r="J27" s="3535"/>
      <c r="K27" s="5021"/>
      <c r="L27" s="1470"/>
      <c r="M27" s="3045"/>
      <c r="R27" s="5019"/>
    </row>
    <row r="28" spans="1:68" s="2595" customFormat="1" ht="13.5" customHeight="1">
      <c r="A28" s="3525"/>
      <c r="B28" s="3536"/>
      <c r="C28" s="3536"/>
      <c r="D28" s="3548" t="s">
        <v>8991</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11740</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9000</v>
      </c>
      <c r="D30" s="3526" t="s">
        <v>9001</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8987</v>
      </c>
      <c r="E31" s="3526"/>
      <c r="F31" s="3530">
        <v>1</v>
      </c>
      <c r="G31" s="3528"/>
      <c r="H31" s="3905"/>
      <c r="I31" s="3926"/>
      <c r="J31" s="3529"/>
      <c r="M31" s="5014"/>
    </row>
    <row r="32" spans="1:68" s="1277" customFormat="1" ht="54" customHeight="1">
      <c r="A32" s="3531"/>
      <c r="B32" s="3532"/>
      <c r="C32" s="3532"/>
      <c r="D32" s="3533" t="s">
        <v>11700</v>
      </c>
      <c r="E32" s="3532"/>
      <c r="F32" s="3668"/>
      <c r="G32" s="3534"/>
      <c r="H32" s="3906"/>
      <c r="I32" s="3927"/>
      <c r="J32" s="3535"/>
      <c r="K32" s="5017"/>
      <c r="L32" s="1653"/>
      <c r="M32" s="5018"/>
      <c r="R32" s="5019"/>
    </row>
    <row r="33" spans="1:99" s="1277" customFormat="1" ht="40.5" customHeight="1">
      <c r="A33" s="3531"/>
      <c r="B33" s="3532"/>
      <c r="C33" s="3532"/>
      <c r="D33" s="3533" t="s">
        <v>9002</v>
      </c>
      <c r="E33" s="3532"/>
      <c r="F33" s="3530"/>
      <c r="G33" s="3534"/>
      <c r="H33" s="3906"/>
      <c r="I33" s="3927"/>
      <c r="J33" s="3535"/>
      <c r="K33" s="5020"/>
      <c r="L33" s="5908"/>
      <c r="M33" s="5908"/>
      <c r="R33" s="5019"/>
    </row>
    <row r="34" spans="1:99" s="1277" customFormat="1" ht="54" customHeight="1">
      <c r="A34" s="3531"/>
      <c r="B34" s="3532"/>
      <c r="C34" s="3532"/>
      <c r="D34" s="3533" t="s">
        <v>11701</v>
      </c>
      <c r="E34" s="3532"/>
      <c r="F34" s="3530"/>
      <c r="G34" s="3534"/>
      <c r="H34" s="3906"/>
      <c r="I34" s="3927"/>
      <c r="J34" s="3535"/>
      <c r="K34" s="5021"/>
      <c r="L34" s="1470"/>
      <c r="M34" s="3045"/>
      <c r="R34" s="5019"/>
    </row>
    <row r="35" spans="1:99" s="2595" customFormat="1" ht="13.5" customHeight="1">
      <c r="A35" s="3525"/>
      <c r="B35" s="3536"/>
      <c r="C35" s="3536"/>
      <c r="D35" s="3548" t="s">
        <v>8991</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11740</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9003</v>
      </c>
      <c r="D37" s="3536" t="s">
        <v>9004</v>
      </c>
      <c r="E37" s="3536" t="s">
        <v>23</v>
      </c>
      <c r="F37" s="3527">
        <f>ROUND(SUM(F38),3)</f>
        <v>1</v>
      </c>
      <c r="G37" s="5909" t="s">
        <v>11555</v>
      </c>
      <c r="H37" s="5910"/>
      <c r="I37" s="5911"/>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9005</v>
      </c>
      <c r="E38" s="3532"/>
      <c r="F38" s="3530">
        <v>1</v>
      </c>
      <c r="G38" s="3534"/>
      <c r="H38" s="3906"/>
      <c r="I38" s="3927"/>
      <c r="J38" s="3538"/>
      <c r="K38" s="5029"/>
      <c r="P38" s="52"/>
    </row>
    <row r="39" spans="1:99" ht="40.5" customHeight="1">
      <c r="A39" s="3525"/>
      <c r="B39" s="3536"/>
      <c r="C39" s="3536"/>
      <c r="D39" s="3537" t="s">
        <v>9006</v>
      </c>
      <c r="E39" s="3536"/>
      <c r="F39" s="3539"/>
      <c r="G39" s="3528"/>
      <c r="H39" s="3905"/>
      <c r="I39" s="3926"/>
      <c r="J39" s="3540"/>
      <c r="K39" s="5021"/>
      <c r="L39" s="5027"/>
      <c r="M39" s="5030"/>
      <c r="N39" s="5031"/>
    </row>
    <row r="40" spans="1:99" s="1102" customFormat="1" ht="27" customHeight="1">
      <c r="A40" s="5643">
        <v>6</v>
      </c>
      <c r="B40" s="3536">
        <v>751</v>
      </c>
      <c r="C40" s="3536" t="s">
        <v>9007</v>
      </c>
      <c r="D40" s="3536" t="s">
        <v>9008</v>
      </c>
      <c r="E40" s="3536" t="s">
        <v>23</v>
      </c>
      <c r="F40" s="3527">
        <f>ROUND(SUM(F41),3)</f>
        <v>1</v>
      </c>
      <c r="G40" s="5909" t="s">
        <v>11555</v>
      </c>
      <c r="H40" s="5910"/>
      <c r="I40" s="5911"/>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9009</v>
      </c>
      <c r="E41" s="3532"/>
      <c r="F41" s="3530">
        <v>1</v>
      </c>
      <c r="G41" s="3534"/>
      <c r="H41" s="3906"/>
      <c r="I41" s="3927"/>
      <c r="J41" s="3538"/>
      <c r="K41" s="5029"/>
      <c r="P41" s="52"/>
    </row>
    <row r="42" spans="1:99" ht="40.5" customHeight="1">
      <c r="A42" s="3525"/>
      <c r="B42" s="3536"/>
      <c r="C42" s="3536"/>
      <c r="D42" s="3537" t="s">
        <v>9006</v>
      </c>
      <c r="E42" s="3536"/>
      <c r="F42" s="3539"/>
      <c r="G42" s="3528"/>
      <c r="H42" s="3905"/>
      <c r="I42" s="3926"/>
      <c r="J42" s="3540"/>
      <c r="K42" s="5021"/>
      <c r="L42" s="5027"/>
      <c r="M42" s="5030"/>
      <c r="N42" s="5031"/>
    </row>
    <row r="43" spans="1:99" s="1102" customFormat="1" ht="27" customHeight="1">
      <c r="A43" s="5643">
        <v>7</v>
      </c>
      <c r="B43" s="3536">
        <v>751</v>
      </c>
      <c r="C43" s="3536" t="s">
        <v>9010</v>
      </c>
      <c r="D43" s="3536" t="s">
        <v>9011</v>
      </c>
      <c r="E43" s="3536" t="s">
        <v>23</v>
      </c>
      <c r="F43" s="3527">
        <f>ROUND(SUM(F44),3)</f>
        <v>1</v>
      </c>
      <c r="G43" s="5909" t="s">
        <v>11555</v>
      </c>
      <c r="H43" s="5910"/>
      <c r="I43" s="5911"/>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9012</v>
      </c>
      <c r="E44" s="3532"/>
      <c r="F44" s="3530">
        <v>1</v>
      </c>
      <c r="G44" s="3534"/>
      <c r="H44" s="3906"/>
      <c r="I44" s="3927"/>
      <c r="J44" s="3538"/>
      <c r="K44" s="5029"/>
      <c r="P44" s="2561"/>
    </row>
    <row r="45" spans="1:99" ht="40.5" customHeight="1">
      <c r="A45" s="3525"/>
      <c r="B45" s="3536"/>
      <c r="C45" s="3536"/>
      <c r="D45" s="3537" t="s">
        <v>9006</v>
      </c>
      <c r="E45" s="3536"/>
      <c r="F45" s="3539"/>
      <c r="G45" s="3528"/>
      <c r="H45" s="3905"/>
      <c r="I45" s="3926"/>
      <c r="J45" s="3540"/>
      <c r="K45" s="5021"/>
      <c r="L45" s="5027"/>
      <c r="M45" s="5030"/>
      <c r="N45" s="5031"/>
      <c r="O45" s="2561"/>
    </row>
    <row r="46" spans="1:99" s="1102" customFormat="1" ht="27" customHeight="1">
      <c r="A46" s="5643">
        <v>8</v>
      </c>
      <c r="B46" s="3536">
        <v>751</v>
      </c>
      <c r="C46" s="3536" t="s">
        <v>9013</v>
      </c>
      <c r="D46" s="3536" t="s">
        <v>9014</v>
      </c>
      <c r="E46" s="3536" t="s">
        <v>23</v>
      </c>
      <c r="F46" s="3527">
        <f>ROUND(SUM(F47),3)</f>
        <v>1</v>
      </c>
      <c r="G46" s="5909" t="s">
        <v>11555</v>
      </c>
      <c r="H46" s="5910"/>
      <c r="I46" s="5911"/>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9015</v>
      </c>
      <c r="E47" s="3532"/>
      <c r="F47" s="3530">
        <v>1</v>
      </c>
      <c r="G47" s="3534"/>
      <c r="H47" s="3906"/>
      <c r="I47" s="3927"/>
      <c r="J47" s="3538"/>
      <c r="K47" s="5029"/>
      <c r="P47" s="2561"/>
    </row>
    <row r="48" spans="1:99" ht="40.5" customHeight="1">
      <c r="A48" s="3525"/>
      <c r="B48" s="3536"/>
      <c r="C48" s="3536"/>
      <c r="D48" s="3537" t="s">
        <v>9006</v>
      </c>
      <c r="E48" s="3536"/>
      <c r="F48" s="3539"/>
      <c r="G48" s="3528"/>
      <c r="H48" s="3905"/>
      <c r="I48" s="3926"/>
      <c r="J48" s="3540"/>
      <c r="K48" s="5021"/>
      <c r="L48" s="5027"/>
      <c r="M48" s="5030"/>
      <c r="N48" s="5031"/>
      <c r="O48" s="2561"/>
    </row>
    <row r="49" spans="1:68" s="1102" customFormat="1" ht="13.5" customHeight="1">
      <c r="A49" s="3525">
        <v>9</v>
      </c>
      <c r="B49" s="3575" t="s">
        <v>7934</v>
      </c>
      <c r="C49" s="3536" t="s">
        <v>9016</v>
      </c>
      <c r="D49" s="3536" t="s">
        <v>9017</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9018</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9019</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9020</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7934</v>
      </c>
      <c r="C53" s="3536" t="s">
        <v>7837</v>
      </c>
      <c r="D53" s="3536" t="s">
        <v>9021</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9022</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9023</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9020</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7934</v>
      </c>
      <c r="C57" s="3536" t="s">
        <v>7855</v>
      </c>
      <c r="D57" s="3536" t="s">
        <v>9024</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9025</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9026</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9020</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9027</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7934</v>
      </c>
      <c r="C62" s="3536" t="s">
        <v>9028</v>
      </c>
      <c r="D62" s="3536" t="s">
        <v>9029</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9030</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9031</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9032</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9020</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7934</v>
      </c>
      <c r="C67" s="3536" t="s">
        <v>9033</v>
      </c>
      <c r="D67" s="3536" t="s">
        <v>9034</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9030</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9035</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9032</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9020</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7934</v>
      </c>
      <c r="C72" s="3536" t="s">
        <v>9036</v>
      </c>
      <c r="D72" s="3536" t="s">
        <v>9037</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9030</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9038</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9039</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9020</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7934</v>
      </c>
      <c r="C77" s="3536" t="s">
        <v>9040</v>
      </c>
      <c r="D77" s="3536" t="s">
        <v>9041</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9030</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9038</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9042</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9020</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7934</v>
      </c>
      <c r="C82" s="3536" t="s">
        <v>9043</v>
      </c>
      <c r="D82" s="3536" t="s">
        <v>9044</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9030</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9045</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9046</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9020</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7934</v>
      </c>
      <c r="C87" s="3536" t="s">
        <v>9047</v>
      </c>
      <c r="D87" s="3536" t="s">
        <v>9048</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9049</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9050</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9032</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9020</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7934</v>
      </c>
      <c r="C92" s="3536" t="s">
        <v>9051</v>
      </c>
      <c r="D92" s="3536" t="s">
        <v>9048</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9052</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9053</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9054</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9020</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7934</v>
      </c>
      <c r="C97" s="3536" t="s">
        <v>9055</v>
      </c>
      <c r="D97" s="3536" t="s">
        <v>9048</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9052</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9056</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9054</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9020</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7934</v>
      </c>
      <c r="C102" s="3536">
        <v>998751201</v>
      </c>
      <c r="D102" s="3536" t="s">
        <v>9057</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7936</v>
      </c>
      <c r="D103" s="3526" t="s">
        <v>7937</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7938</v>
      </c>
      <c r="E104" s="3526"/>
      <c r="F104" s="3544">
        <v>20</v>
      </c>
      <c r="G104" s="3528"/>
      <c r="H104" s="3905"/>
      <c r="I104" s="3926"/>
      <c r="J104" s="4507"/>
      <c r="M104" s="5014"/>
    </row>
    <row r="105" spans="1:163" s="1102" customFormat="1" ht="27" customHeight="1">
      <c r="A105" s="3112"/>
      <c r="B105" s="3526"/>
      <c r="C105" s="3526"/>
      <c r="D105" s="3543" t="s">
        <v>7939</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9058</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9059</v>
      </c>
      <c r="D107" s="3526" t="s">
        <v>9060</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9061</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8110</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9130</v>
      </c>
      <c r="B110" s="3546"/>
      <c r="C110" s="3547" t="s">
        <v>9062</v>
      </c>
      <c r="D110" s="3548" t="s">
        <v>9063</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9132</v>
      </c>
      <c r="B111" s="3546"/>
      <c r="C111" s="3547" t="s">
        <v>9064</v>
      </c>
      <c r="D111" s="3548" t="s">
        <v>9065</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9066</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8123</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9089</v>
      </c>
      <c r="D114" s="3526" t="s">
        <v>9067</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9068</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8110</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9062</v>
      </c>
      <c r="D117" s="3548" t="s">
        <v>9069</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9064</v>
      </c>
      <c r="D118" s="3548" t="s">
        <v>9070</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9071</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8123</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9118</v>
      </c>
      <c r="D121" s="3526" t="s">
        <v>9072</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9073</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8110</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9062</v>
      </c>
      <c r="D124" s="3548" t="s">
        <v>9074</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9064</v>
      </c>
      <c r="D125" s="3548" t="s">
        <v>9075</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9076</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8120</v>
      </c>
      <c r="D127" s="3552" t="s">
        <v>9077</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9078</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9079</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8123</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9127</v>
      </c>
      <c r="D131" s="3526" t="s">
        <v>9080</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9081</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9082</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9062</v>
      </c>
      <c r="D134" s="3548" t="s">
        <v>9083</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9064</v>
      </c>
      <c r="D135" s="3548" t="s">
        <v>9084</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9085</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9086</v>
      </c>
      <c r="D137" s="3552" t="s">
        <v>9087</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9078</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9088</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8123</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9145</v>
      </c>
      <c r="D141" s="3526" t="s">
        <v>9090</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9091</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8110</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9092</v>
      </c>
      <c r="D144" s="3548" t="s">
        <v>9093</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9094</v>
      </c>
      <c r="D145" s="3548" t="s">
        <v>9095</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9096</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8120</v>
      </c>
      <c r="D147" s="3552" t="s">
        <v>9097</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9098</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9099</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8123</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9154</v>
      </c>
      <c r="D151" s="3526" t="s">
        <v>9100</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9101</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9102</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9094</v>
      </c>
      <c r="D154" s="3547" t="s">
        <v>9103</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9104</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9105</v>
      </c>
      <c r="D156" s="3551" t="s">
        <v>9106</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9107</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9108</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9109</v>
      </c>
      <c r="E159" s="3532"/>
      <c r="F159" s="3530"/>
      <c r="G159" s="3534"/>
      <c r="H159" s="3906"/>
      <c r="I159" s="3927"/>
      <c r="J159" s="3535"/>
      <c r="K159" s="5067"/>
      <c r="L159" s="5068"/>
      <c r="M159" s="3659"/>
      <c r="R159" s="5019"/>
    </row>
    <row r="160" spans="1:43" customFormat="1" ht="13.5" customHeight="1">
      <c r="A160" s="3112"/>
      <c r="B160" s="3526"/>
      <c r="C160" s="3526"/>
      <c r="D160" s="3543" t="s">
        <v>9110</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8123</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9170</v>
      </c>
      <c r="D162" s="3526" t="s">
        <v>9111</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9112</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9082</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9092</v>
      </c>
      <c r="D165" s="3548" t="s">
        <v>9113</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9094</v>
      </c>
      <c r="D166" s="3548" t="s">
        <v>9114</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9115</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9086</v>
      </c>
      <c r="D168" s="3552" t="s">
        <v>9116</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9098</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9117</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8123</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9188</v>
      </c>
      <c r="D172" s="3526" t="s">
        <v>9119</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9120</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8110</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9092</v>
      </c>
      <c r="D175" s="3548" t="s">
        <v>9121</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9094</v>
      </c>
      <c r="D176" s="3548" t="s">
        <v>9122</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9123</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8120</v>
      </c>
      <c r="D178" s="3552" t="s">
        <v>9124</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9125</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9126</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8123</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9204</v>
      </c>
      <c r="D182" s="3526" t="s">
        <v>9128</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9129</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8110</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9092</v>
      </c>
      <c r="D185" s="3548" t="s">
        <v>9131</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9094</v>
      </c>
      <c r="D186" s="3548" t="s">
        <v>9133</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9134</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8120</v>
      </c>
      <c r="D188" s="3552" t="s">
        <v>9135</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9136</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9137</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8123</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9215</v>
      </c>
      <c r="D192" s="3526" t="s">
        <v>9138</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9139</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9082</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9092</v>
      </c>
      <c r="D195" s="3548" t="s">
        <v>9140</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9094</v>
      </c>
      <c r="D196" s="3548" t="s">
        <v>9141</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9142</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9086</v>
      </c>
      <c r="D198" s="3552" t="s">
        <v>9143</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9136</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9144</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8123</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10121</v>
      </c>
      <c r="D202" s="3526" t="s">
        <v>9146</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9147</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8110</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9092</v>
      </c>
      <c r="D205" s="3548" t="s">
        <v>9148</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9094</v>
      </c>
      <c r="D206" s="3548" t="s">
        <v>9149</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9150</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8120</v>
      </c>
      <c r="D208" s="3552" t="s">
        <v>9151</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9152</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9153</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8123</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10122</v>
      </c>
      <c r="D212" s="3526" t="s">
        <v>9155</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9156</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8110</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7237</v>
      </c>
      <c r="B215" s="3546"/>
      <c r="C215" s="3547" t="s">
        <v>9092</v>
      </c>
      <c r="D215" s="3548" t="s">
        <v>9157</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7239</v>
      </c>
      <c r="B216" s="3546"/>
      <c r="C216" s="3547" t="s">
        <v>9094</v>
      </c>
      <c r="D216" s="3548" t="s">
        <v>9158</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7243</v>
      </c>
      <c r="B217" s="3546"/>
      <c r="C217" s="3547">
        <v>713411121</v>
      </c>
      <c r="D217" s="3547" t="s">
        <v>9159</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7245</v>
      </c>
      <c r="B218" s="3546"/>
      <c r="C218" s="3551" t="s">
        <v>8120</v>
      </c>
      <c r="D218" s="3552" t="s">
        <v>9160</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9161</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9162</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8123</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10123</v>
      </c>
      <c r="D222" s="3526" t="s">
        <v>9163</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9164</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9082</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9092</v>
      </c>
      <c r="D225" s="3548" t="s">
        <v>9165</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9094</v>
      </c>
      <c r="D226" s="3548" t="s">
        <v>9166</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9167</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9086</v>
      </c>
      <c r="D228" s="3552" t="s">
        <v>9168</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9161</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9169</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8123</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10124</v>
      </c>
      <c r="D232" s="3526" t="s">
        <v>9171</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9172</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8110</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9173</v>
      </c>
      <c r="D235" s="3548" t="s">
        <v>9174</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9175</v>
      </c>
      <c r="D236" s="3548" t="s">
        <v>9176</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9177</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8120</v>
      </c>
      <c r="D238" s="3552" t="s">
        <v>9178</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9179</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9180</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8123</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10125</v>
      </c>
      <c r="D242" s="3526" t="s">
        <v>9181</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9182</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9082</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9173</v>
      </c>
      <c r="D245" s="3548" t="s">
        <v>9183</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9175</v>
      </c>
      <c r="D246" s="3548" t="s">
        <v>9184</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9185</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9086</v>
      </c>
      <c r="D248" s="3552" t="s">
        <v>9186</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9179</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9187</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8123</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10126</v>
      </c>
      <c r="D252" s="3526" t="s">
        <v>9189</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9190</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8110</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9173</v>
      </c>
      <c r="D255" s="3548" t="s">
        <v>9191</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9175</v>
      </c>
      <c r="D256" s="3548" t="s">
        <v>9192</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9193</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9330</v>
      </c>
      <c r="B258" s="3546"/>
      <c r="C258" s="3551" t="s">
        <v>8120</v>
      </c>
      <c r="D258" s="3552" t="s">
        <v>9194</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9195</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9196</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8123</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10127</v>
      </c>
      <c r="D262" s="3526" t="s">
        <v>9197</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9198</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9082</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9173</v>
      </c>
      <c r="D265" s="3548" t="s">
        <v>9199</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9175</v>
      </c>
      <c r="D266" s="3548" t="s">
        <v>9200</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9201</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9340</v>
      </c>
      <c r="B268" s="3546"/>
      <c r="C268" s="3551" t="s">
        <v>9086</v>
      </c>
      <c r="D268" s="3552" t="s">
        <v>9202</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9195</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9203</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8123</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10128</v>
      </c>
      <c r="D272" s="3526" t="s">
        <v>9205</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9206</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8110</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9207</v>
      </c>
      <c r="D275" s="3548" t="s">
        <v>9208</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9209</v>
      </c>
      <c r="D276" s="3548" t="s">
        <v>9210</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9211</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8120</v>
      </c>
      <c r="D278" s="3552" t="s">
        <v>9212</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9213</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9214</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8123</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10129</v>
      </c>
      <c r="D282" s="3526" t="s">
        <v>9216</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9217</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8110</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9218</v>
      </c>
      <c r="D285" s="3548" t="s">
        <v>9219</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9220</v>
      </c>
      <c r="D286" s="3548" t="s">
        <v>9221</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9222</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8120</v>
      </c>
      <c r="D288" s="3552" t="s">
        <v>9223</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9224</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9225</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8123</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8107</v>
      </c>
      <c r="D292" s="3526" t="s">
        <v>9226</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9227</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8110</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9228</v>
      </c>
      <c r="D295" s="3548" t="s">
        <v>9229</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9230</v>
      </c>
      <c r="D296" s="3548" t="s">
        <v>9231</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9232</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8120</v>
      </c>
      <c r="D298" s="3552" t="s">
        <v>9233</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9234</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9235</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8123</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8125</v>
      </c>
      <c r="D302" s="3526" t="s">
        <v>9236</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9237</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9082</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9228</v>
      </c>
      <c r="D305" s="3548" t="s">
        <v>9238</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9230</v>
      </c>
      <c r="D306" s="3548" t="s">
        <v>9239</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9240</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9086</v>
      </c>
      <c r="D308" s="3552" t="s">
        <v>9241</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9242</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9243</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8123</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8139</v>
      </c>
      <c r="D312" s="3526" t="s">
        <v>9244</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9245</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9082</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9228</v>
      </c>
      <c r="D315" s="3548" t="s">
        <v>9246</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9230</v>
      </c>
      <c r="D316" s="3548" t="s">
        <v>9247</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9248</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9086</v>
      </c>
      <c r="D318" s="3552" t="s">
        <v>9249</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9250</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9251</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8123</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9260</v>
      </c>
      <c r="D322" s="3526" t="s">
        <v>9252</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9253</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8110</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8112</v>
      </c>
      <c r="D325" s="3548" t="s">
        <v>9254</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8115</v>
      </c>
      <c r="D326" s="3548" t="s">
        <v>9255</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9256</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8120</v>
      </c>
      <c r="D328" s="3552" t="s">
        <v>9257</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9258</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9259</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8123</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9269</v>
      </c>
      <c r="D332" s="3526" t="s">
        <v>9261</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9262</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8110</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9228</v>
      </c>
      <c r="D335" s="3548" t="s">
        <v>9263</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9230</v>
      </c>
      <c r="D336" s="3548" t="s">
        <v>9264</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9265</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8120</v>
      </c>
      <c r="D338" s="3552" t="s">
        <v>9266</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9267</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9268</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8123</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9286</v>
      </c>
      <c r="D342" s="3526" t="s">
        <v>9270</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9271</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8110</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9228</v>
      </c>
      <c r="D345" s="3548" t="s">
        <v>9272</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9230</v>
      </c>
      <c r="D346" s="3548" t="s">
        <v>9273</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9274</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8120</v>
      </c>
      <c r="D348" s="3552" t="s">
        <v>9275</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9276</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9277</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8123</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9296</v>
      </c>
      <c r="D352" s="3526" t="s">
        <v>9278</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9279</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9082</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9228</v>
      </c>
      <c r="D355" s="3548" t="s">
        <v>9280</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9230</v>
      </c>
      <c r="D356" s="3548" t="s">
        <v>9281</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9282</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9086</v>
      </c>
      <c r="D358" s="3552" t="s">
        <v>9283</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9284</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9285</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8123</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9305</v>
      </c>
      <c r="D362" s="3526" t="s">
        <v>9287</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9288</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8110</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8129</v>
      </c>
      <c r="D365" s="3548" t="s">
        <v>9289</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9290</v>
      </c>
      <c r="D366" s="3548" t="s">
        <v>9291</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9292</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8120</v>
      </c>
      <c r="D368" s="3552" t="s">
        <v>9293</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9294</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9295</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8123</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9322</v>
      </c>
      <c r="D372" s="3526" t="s">
        <v>9297</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9298</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8110</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8129</v>
      </c>
      <c r="D375" s="3548" t="s">
        <v>9299</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9290</v>
      </c>
      <c r="D376" s="3548" t="s">
        <v>9300</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9301</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8120</v>
      </c>
      <c r="D378" s="3552" t="s">
        <v>9302</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9303</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9304</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8123</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9334</v>
      </c>
      <c r="D382" s="3526" t="s">
        <v>9306</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9307</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8110</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9228</v>
      </c>
      <c r="D385" s="3548" t="s">
        <v>9308</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9230</v>
      </c>
      <c r="D386" s="3548" t="s">
        <v>9309</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9310</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8120</v>
      </c>
      <c r="D388" s="3552" t="s">
        <v>9311</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9312</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9313</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8123</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9344</v>
      </c>
      <c r="D392" s="3526" t="s">
        <v>9314</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9315</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9082</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9228</v>
      </c>
      <c r="D395" s="3548" t="s">
        <v>9316</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9230</v>
      </c>
      <c r="D396" s="3548" t="s">
        <v>9317</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9318</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9086</v>
      </c>
      <c r="D398" s="3552" t="s">
        <v>9319</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9320</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9321</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8123</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9353</v>
      </c>
      <c r="D402" s="3526" t="s">
        <v>9323</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9324</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8110</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9325</v>
      </c>
      <c r="D405" s="3548" t="s">
        <v>9326</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9327</v>
      </c>
      <c r="D406" s="3548" t="s">
        <v>9328</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9329</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8120</v>
      </c>
      <c r="D408" s="3552" t="s">
        <v>9331</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9332</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9333</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8123</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9377</v>
      </c>
      <c r="D412" s="3526" t="s">
        <v>9335</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9336</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8110</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9228</v>
      </c>
      <c r="D415" s="3548" t="s">
        <v>9337</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9230</v>
      </c>
      <c r="D416" s="3548" t="s">
        <v>9338</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9339</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8120</v>
      </c>
      <c r="D418" s="3552" t="s">
        <v>9341</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9342</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9343</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8123</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9386</v>
      </c>
      <c r="D422" s="3526" t="s">
        <v>9345</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9346</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8110</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8005</v>
      </c>
      <c r="B425" s="3546"/>
      <c r="C425" s="3547" t="s">
        <v>9228</v>
      </c>
      <c r="D425" s="3548" t="s">
        <v>9347</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8008</v>
      </c>
      <c r="B426" s="3546"/>
      <c r="C426" s="3547" t="s">
        <v>9230</v>
      </c>
      <c r="D426" s="3548" t="s">
        <v>9348</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8011</v>
      </c>
      <c r="B427" s="3546"/>
      <c r="C427" s="3547">
        <v>713411121</v>
      </c>
      <c r="D427" s="3548" t="s">
        <v>9349</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8013</v>
      </c>
      <c r="B428" s="3546"/>
      <c r="C428" s="3551" t="s">
        <v>8120</v>
      </c>
      <c r="D428" s="3552" t="s">
        <v>9350</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9351</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9352</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8123</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9395</v>
      </c>
      <c r="D432" s="3526" t="s">
        <v>9354</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9355</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8110</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9228</v>
      </c>
      <c r="D435" s="3548" t="s">
        <v>9356</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9230</v>
      </c>
      <c r="D436" s="3548" t="s">
        <v>9357</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9358</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8120</v>
      </c>
      <c r="D438" s="3552" t="s">
        <v>9359</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9360</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9361</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8123</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9411</v>
      </c>
      <c r="D442" s="3526" t="s">
        <v>9362</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9363</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9082</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8030</v>
      </c>
      <c r="B445" s="3546"/>
      <c r="C445" s="3547" t="s">
        <v>9228</v>
      </c>
      <c r="D445" s="3548" t="s">
        <v>9364</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8033</v>
      </c>
      <c r="B446" s="3546"/>
      <c r="C446" s="3547" t="s">
        <v>9230</v>
      </c>
      <c r="D446" s="3548" t="s">
        <v>9365</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8036</v>
      </c>
      <c r="B447" s="3546"/>
      <c r="C447" s="3547">
        <v>713411121</v>
      </c>
      <c r="D447" s="3548" t="s">
        <v>9366</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8038</v>
      </c>
      <c r="B448" s="3546"/>
      <c r="C448" s="3551" t="s">
        <v>9086</v>
      </c>
      <c r="D448" s="3552" t="s">
        <v>9367</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9360</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9368</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8123</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9420</v>
      </c>
      <c r="D452" s="3526" t="s">
        <v>9369</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9370</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8110</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6285</v>
      </c>
      <c r="B455" s="3546"/>
      <c r="C455" s="3547" t="s">
        <v>8112</v>
      </c>
      <c r="D455" s="3548" t="s">
        <v>9371</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6287</v>
      </c>
      <c r="B456" s="3546"/>
      <c r="C456" s="3547" t="s">
        <v>8115</v>
      </c>
      <c r="D456" s="3548" t="s">
        <v>9372</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6289</v>
      </c>
      <c r="B457" s="3546"/>
      <c r="C457" s="3547">
        <v>713411121</v>
      </c>
      <c r="D457" s="3548" t="s">
        <v>9373</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8046</v>
      </c>
      <c r="B458" s="3546"/>
      <c r="C458" s="3551" t="s">
        <v>8120</v>
      </c>
      <c r="D458" s="3552" t="s">
        <v>9374</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9375</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9376</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8123</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9436</v>
      </c>
      <c r="D462" s="3526" t="s">
        <v>9378</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9379</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8110</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10130</v>
      </c>
      <c r="B465" s="3546"/>
      <c r="C465" s="3547" t="s">
        <v>8129</v>
      </c>
      <c r="D465" s="3548" t="s">
        <v>9380</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10131</v>
      </c>
      <c r="B466" s="3546"/>
      <c r="C466" s="3547" t="s">
        <v>9290</v>
      </c>
      <c r="D466" s="3548" t="s">
        <v>9381</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10132</v>
      </c>
      <c r="B467" s="3546"/>
      <c r="C467" s="3547">
        <v>713411121</v>
      </c>
      <c r="D467" s="3548" t="s">
        <v>9382</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10133</v>
      </c>
      <c r="B468" s="3546"/>
      <c r="C468" s="3551" t="s">
        <v>8120</v>
      </c>
      <c r="D468" s="3552" t="s">
        <v>9383</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9384</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9385</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8123</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9445</v>
      </c>
      <c r="D472" s="3526" t="s">
        <v>9387</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9388</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8110</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6297</v>
      </c>
      <c r="B475" s="3546"/>
      <c r="C475" s="3547" t="s">
        <v>8129</v>
      </c>
      <c r="D475" s="3548" t="s">
        <v>9389</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6298</v>
      </c>
      <c r="B476" s="3546"/>
      <c r="C476" s="3547" t="s">
        <v>9290</v>
      </c>
      <c r="D476" s="3548" t="s">
        <v>9390</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6300</v>
      </c>
      <c r="B477" s="3546"/>
      <c r="C477" s="3547">
        <v>713411121</v>
      </c>
      <c r="D477" s="3548" t="s">
        <v>9391</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10134</v>
      </c>
      <c r="B478" s="3546"/>
      <c r="C478" s="3551" t="s">
        <v>8120</v>
      </c>
      <c r="D478" s="3552" t="s">
        <v>9392</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9393</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9394</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8123</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9462</v>
      </c>
      <c r="D482" s="3526" t="s">
        <v>9396</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9397</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8110</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10135</v>
      </c>
      <c r="B485" s="3546"/>
      <c r="C485" s="3547" t="s">
        <v>8112</v>
      </c>
      <c r="D485" s="3548" t="s">
        <v>9398</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10136</v>
      </c>
      <c r="B486" s="3546"/>
      <c r="C486" s="3547" t="s">
        <v>8115</v>
      </c>
      <c r="D486" s="3548" t="s">
        <v>9399</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10137</v>
      </c>
      <c r="B487" s="3546"/>
      <c r="C487" s="3547">
        <v>713411121</v>
      </c>
      <c r="D487" s="3548" t="s">
        <v>9400</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10138</v>
      </c>
      <c r="B488" s="3546"/>
      <c r="C488" s="3551" t="s">
        <v>8120</v>
      </c>
      <c r="D488" s="3552" t="s">
        <v>9401</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9402</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9403</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8123</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9473</v>
      </c>
      <c r="D492" s="3526" t="s">
        <v>9404</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9405</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9082</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10139</v>
      </c>
      <c r="B495" s="3546"/>
      <c r="C495" s="3547" t="s">
        <v>8112</v>
      </c>
      <c r="D495" s="3548" t="s">
        <v>9406</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10140</v>
      </c>
      <c r="B496" s="3546"/>
      <c r="C496" s="3547" t="s">
        <v>8115</v>
      </c>
      <c r="D496" s="3548" t="s">
        <v>9407</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10141</v>
      </c>
      <c r="B497" s="3546"/>
      <c r="C497" s="3547">
        <v>713411121</v>
      </c>
      <c r="D497" s="3548" t="s">
        <v>9408</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10142</v>
      </c>
      <c r="B498" s="3546"/>
      <c r="C498" s="3551" t="s">
        <v>9086</v>
      </c>
      <c r="D498" s="3552" t="s">
        <v>9409</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9402</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9410</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8123</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9489</v>
      </c>
      <c r="D502" s="3526" t="s">
        <v>9412</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9413</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8110</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9228</v>
      </c>
      <c r="D505" s="3548" t="s">
        <v>9414</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9230</v>
      </c>
      <c r="D506" s="3548" t="s">
        <v>9415</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9416</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10143</v>
      </c>
      <c r="B508" s="3546"/>
      <c r="C508" s="3551" t="s">
        <v>8120</v>
      </c>
      <c r="D508" s="3552" t="s">
        <v>9417</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9418</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9419</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8123</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9506</v>
      </c>
      <c r="D512" s="3526" t="s">
        <v>9421</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9422</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8110</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8112</v>
      </c>
      <c r="D515" s="3548" t="s">
        <v>9423</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8115</v>
      </c>
      <c r="D516" s="3548" t="s">
        <v>9424</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10144</v>
      </c>
      <c r="B517" s="3546"/>
      <c r="C517" s="3547">
        <v>713411121</v>
      </c>
      <c r="D517" s="3548" t="s">
        <v>9425</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10145</v>
      </c>
      <c r="B518" s="3546"/>
      <c r="C518" s="3551" t="s">
        <v>8120</v>
      </c>
      <c r="D518" s="3552" t="s">
        <v>9426</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9427</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9428</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8123</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9515</v>
      </c>
      <c r="D522" s="3526" t="s">
        <v>9429</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9430</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9082</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8112</v>
      </c>
      <c r="D525" s="3548" t="s">
        <v>9431</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8115</v>
      </c>
      <c r="D526" s="3548" t="s">
        <v>9432</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9433</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9086</v>
      </c>
      <c r="D528" s="3552" t="s">
        <v>9434</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9427</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9435</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8123</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9524</v>
      </c>
      <c r="D532" s="3526" t="s">
        <v>9437</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9438</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8110</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10146</v>
      </c>
      <c r="B535" s="3546"/>
      <c r="C535" s="3547" t="s">
        <v>8112</v>
      </c>
      <c r="D535" s="3548" t="s">
        <v>9439</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10147</v>
      </c>
      <c r="B536" s="3546"/>
      <c r="C536" s="3547" t="s">
        <v>8115</v>
      </c>
      <c r="D536" s="3548" t="s">
        <v>9440</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10148</v>
      </c>
      <c r="B537" s="3546"/>
      <c r="C537" s="3547">
        <v>713411121</v>
      </c>
      <c r="D537" s="3548" t="s">
        <v>9441</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10149</v>
      </c>
      <c r="B538" s="3546"/>
      <c r="C538" s="3551" t="s">
        <v>8120</v>
      </c>
      <c r="D538" s="3552" t="s">
        <v>9442</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9443</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9444</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8123</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9533</v>
      </c>
      <c r="D542" s="3526" t="s">
        <v>9446</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9447</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8110</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10150</v>
      </c>
      <c r="B545" s="3546"/>
      <c r="C545" s="3547" t="s">
        <v>8129</v>
      </c>
      <c r="D545" s="3548" t="s">
        <v>9448</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10151</v>
      </c>
      <c r="B546" s="3546"/>
      <c r="C546" s="3547" t="s">
        <v>9290</v>
      </c>
      <c r="D546" s="3548" t="s">
        <v>9449</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10152</v>
      </c>
      <c r="B547" s="3546"/>
      <c r="C547" s="3547">
        <v>713411121</v>
      </c>
      <c r="D547" s="3548" t="s">
        <v>9450</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10153</v>
      </c>
      <c r="B548" s="3546"/>
      <c r="C548" s="3551" t="s">
        <v>8120</v>
      </c>
      <c r="D548" s="3552" t="s">
        <v>9451</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9452</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9453</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8123</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9542</v>
      </c>
      <c r="D552" s="3526" t="s">
        <v>9454</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9455</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8110</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8129</v>
      </c>
      <c r="D555" s="3548" t="s">
        <v>9456</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9290</v>
      </c>
      <c r="D556" s="3548" t="s">
        <v>9457</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9458</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9105</v>
      </c>
      <c r="D558" s="3552" t="s">
        <v>9459</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9460</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9461</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8123</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9551</v>
      </c>
      <c r="D562" s="3526" t="s">
        <v>9463</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9464</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8110</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9465</v>
      </c>
      <c r="D565" s="3548" t="s">
        <v>9466</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9467</v>
      </c>
      <c r="D566" s="3548" t="s">
        <v>9468</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9469</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8120</v>
      </c>
      <c r="D568" s="3552" t="s">
        <v>9470</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9471</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9472</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8123</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9560</v>
      </c>
      <c r="D572" s="3526" t="s">
        <v>9474</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9475</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8110</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8112</v>
      </c>
      <c r="D575" s="3548" t="s">
        <v>9476</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8115</v>
      </c>
      <c r="D576" s="3548" t="s">
        <v>9477</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9478</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8120</v>
      </c>
      <c r="D578" s="3552" t="s">
        <v>9479</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9480</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9481</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8123</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9569</v>
      </c>
      <c r="D582" s="3526" t="s">
        <v>9482</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9483</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9082</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8112</v>
      </c>
      <c r="D585" s="3548" t="s">
        <v>9484</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8115</v>
      </c>
      <c r="D586" s="3548" t="s">
        <v>9485</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9486</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9086</v>
      </c>
      <c r="D588" s="3552" t="s">
        <v>9487</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9480</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9488</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8123</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9578</v>
      </c>
      <c r="D592" s="3526" t="s">
        <v>9490</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9491</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8110</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10154</v>
      </c>
      <c r="B595" s="3546"/>
      <c r="C595" s="3547" t="s">
        <v>8112</v>
      </c>
      <c r="D595" s="3548" t="s">
        <v>9492</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10155</v>
      </c>
      <c r="B596" s="3546"/>
      <c r="C596" s="3547" t="s">
        <v>8115</v>
      </c>
      <c r="D596" s="3548" t="s">
        <v>9493</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10156</v>
      </c>
      <c r="B597" s="3546"/>
      <c r="C597" s="3547">
        <v>713411121</v>
      </c>
      <c r="D597" s="3548" t="s">
        <v>9494</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10157</v>
      </c>
      <c r="B598" s="3546"/>
      <c r="C598" s="3551" t="s">
        <v>8120</v>
      </c>
      <c r="D598" s="3552" t="s">
        <v>9495</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9496</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9497</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8123</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9587</v>
      </c>
      <c r="D602" s="3526" t="s">
        <v>9498</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9499</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9082</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10158</v>
      </c>
      <c r="B605" s="3546"/>
      <c r="C605" s="3547" t="s">
        <v>8112</v>
      </c>
      <c r="D605" s="3548" t="s">
        <v>9500</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10159</v>
      </c>
      <c r="B606" s="3546"/>
      <c r="C606" s="3547" t="s">
        <v>8115</v>
      </c>
      <c r="D606" s="3548" t="s">
        <v>9501</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10160</v>
      </c>
      <c r="B607" s="3546"/>
      <c r="C607" s="3547">
        <v>713411121</v>
      </c>
      <c r="D607" s="3548" t="s">
        <v>9502</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10161</v>
      </c>
      <c r="B608" s="3546"/>
      <c r="C608" s="3551" t="s">
        <v>9086</v>
      </c>
      <c r="D608" s="3552" t="s">
        <v>9503</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9504</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9505</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8123</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9598</v>
      </c>
      <c r="D612" s="3526" t="s">
        <v>9507</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9508</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8110</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10162</v>
      </c>
      <c r="B615" s="3546"/>
      <c r="C615" s="3547" t="s">
        <v>8112</v>
      </c>
      <c r="D615" s="3548" t="s">
        <v>9509</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10163</v>
      </c>
      <c r="B616" s="3546"/>
      <c r="C616" s="3547" t="s">
        <v>8115</v>
      </c>
      <c r="D616" s="3548" t="s">
        <v>9510</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10164</v>
      </c>
      <c r="B617" s="3546"/>
      <c r="C617" s="3547">
        <v>713411121</v>
      </c>
      <c r="D617" s="3548" t="s">
        <v>9511</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10165</v>
      </c>
      <c r="B618" s="3546"/>
      <c r="C618" s="3551" t="s">
        <v>8120</v>
      </c>
      <c r="D618" s="3552" t="s">
        <v>9512</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9513</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9514</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8123</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9607</v>
      </c>
      <c r="D622" s="3526" t="s">
        <v>9516</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9517</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8110</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10166</v>
      </c>
      <c r="B625" s="3546"/>
      <c r="C625" s="3547" t="s">
        <v>8129</v>
      </c>
      <c r="D625" s="3548" t="s">
        <v>9518</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10167</v>
      </c>
      <c r="B626" s="3546"/>
      <c r="C626" s="3547" t="s">
        <v>9290</v>
      </c>
      <c r="D626" s="3548" t="s">
        <v>9519</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10168</v>
      </c>
      <c r="B627" s="3546"/>
      <c r="C627" s="3547">
        <v>713411121</v>
      </c>
      <c r="D627" s="3548" t="s">
        <v>9520</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10169</v>
      </c>
      <c r="B628" s="3546"/>
      <c r="C628" s="3551" t="s">
        <v>8120</v>
      </c>
      <c r="D628" s="3552" t="s">
        <v>9521</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9522</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9523</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8123</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9616</v>
      </c>
      <c r="D632" s="3526" t="s">
        <v>9525</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9526</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8110</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10170</v>
      </c>
      <c r="B635" s="3546"/>
      <c r="C635" s="3547" t="s">
        <v>8129</v>
      </c>
      <c r="D635" s="3548" t="s">
        <v>9527</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10171</v>
      </c>
      <c r="B636" s="3546"/>
      <c r="C636" s="3547" t="s">
        <v>9290</v>
      </c>
      <c r="D636" s="3548" t="s">
        <v>9528</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10172</v>
      </c>
      <c r="B637" s="3546"/>
      <c r="C637" s="3547">
        <v>713411121</v>
      </c>
      <c r="D637" s="3548" t="s">
        <v>9529</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10173</v>
      </c>
      <c r="B638" s="3546"/>
      <c r="C638" s="3551" t="s">
        <v>8120</v>
      </c>
      <c r="D638" s="3552" t="s">
        <v>9530</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9531</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9532</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8123</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9625</v>
      </c>
      <c r="D642" s="3526" t="s">
        <v>9534</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9535</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8110</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10174</v>
      </c>
      <c r="B645" s="3546"/>
      <c r="C645" s="3547" t="s">
        <v>8129</v>
      </c>
      <c r="D645" s="3548" t="s">
        <v>9536</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10175</v>
      </c>
      <c r="B646" s="3546"/>
      <c r="C646" s="3547" t="s">
        <v>9290</v>
      </c>
      <c r="D646" s="3548" t="s">
        <v>9537</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10176</v>
      </c>
      <c r="B647" s="3546"/>
      <c r="C647" s="3547">
        <v>713411121</v>
      </c>
      <c r="D647" s="3548" t="s">
        <v>9538</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10177</v>
      </c>
      <c r="B648" s="3546"/>
      <c r="C648" s="3551" t="s">
        <v>8120</v>
      </c>
      <c r="D648" s="3552" t="s">
        <v>9539</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9540</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9541</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8123</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9639</v>
      </c>
      <c r="D652" s="3526" t="s">
        <v>9543</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9544</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8110</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8111</v>
      </c>
      <c r="B655" s="3546"/>
      <c r="C655" s="3547" t="s">
        <v>8129</v>
      </c>
      <c r="D655" s="3548" t="s">
        <v>9545</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8114</v>
      </c>
      <c r="B656" s="3546"/>
      <c r="C656" s="3547" t="s">
        <v>9290</v>
      </c>
      <c r="D656" s="3548" t="s">
        <v>9546</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8117</v>
      </c>
      <c r="B657" s="3546"/>
      <c r="C657" s="3547">
        <v>713411121</v>
      </c>
      <c r="D657" s="3548" t="s">
        <v>9547</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8119</v>
      </c>
      <c r="B658" s="3546"/>
      <c r="C658" s="3551" t="s">
        <v>8120</v>
      </c>
      <c r="D658" s="3552" t="s">
        <v>9548</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9549</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9550</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8123</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9655</v>
      </c>
      <c r="D662" s="3526" t="s">
        <v>9552</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9553</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8110</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8128</v>
      </c>
      <c r="B665" s="3546"/>
      <c r="C665" s="3547" t="s">
        <v>8129</v>
      </c>
      <c r="D665" s="3548" t="s">
        <v>9554</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8131</v>
      </c>
      <c r="B666" s="3546"/>
      <c r="C666" s="3547" t="s">
        <v>9290</v>
      </c>
      <c r="D666" s="3548" t="s">
        <v>9555</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8133</v>
      </c>
      <c r="B667" s="3546"/>
      <c r="C667" s="3547">
        <v>713411121</v>
      </c>
      <c r="D667" s="3548" t="s">
        <v>9556</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8135</v>
      </c>
      <c r="B668" s="3546"/>
      <c r="C668" s="3551" t="s">
        <v>8120</v>
      </c>
      <c r="D668" s="3552" t="s">
        <v>9557</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9558</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9559</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8123</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9664</v>
      </c>
      <c r="D672" s="3526" t="s">
        <v>9561</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9562</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8110</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8142</v>
      </c>
      <c r="B675" s="3546"/>
      <c r="C675" s="3547" t="s">
        <v>9465</v>
      </c>
      <c r="D675" s="3548" t="s">
        <v>9563</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8143</v>
      </c>
      <c r="B676" s="3546"/>
      <c r="C676" s="3547" t="s">
        <v>9467</v>
      </c>
      <c r="D676" s="3548" t="s">
        <v>9564</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8144</v>
      </c>
      <c r="B677" s="3546"/>
      <c r="C677" s="3547">
        <v>713411121</v>
      </c>
      <c r="D677" s="3548" t="s">
        <v>9565</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8146</v>
      </c>
      <c r="B678" s="3546"/>
      <c r="C678" s="3551" t="s">
        <v>8120</v>
      </c>
      <c r="D678" s="3552" t="s">
        <v>9566</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9567</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9568</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8123</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9680</v>
      </c>
      <c r="D682" s="3526" t="s">
        <v>9570</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9571</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8110</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10178</v>
      </c>
      <c r="B685" s="3546"/>
      <c r="C685" s="3547" t="s">
        <v>9465</v>
      </c>
      <c r="D685" s="3548" t="s">
        <v>9572</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10179</v>
      </c>
      <c r="B686" s="3546"/>
      <c r="C686" s="3547" t="s">
        <v>9467</v>
      </c>
      <c r="D686" s="3548" t="s">
        <v>9573</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10180</v>
      </c>
      <c r="B687" s="3546"/>
      <c r="C687" s="3547">
        <v>713411121</v>
      </c>
      <c r="D687" s="3548" t="s">
        <v>9574</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10181</v>
      </c>
      <c r="B688" s="3546"/>
      <c r="C688" s="3551" t="s">
        <v>8120</v>
      </c>
      <c r="D688" s="3552" t="s">
        <v>9575</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9576</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9577</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8123</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9689</v>
      </c>
      <c r="D692" s="3526" t="s">
        <v>9579</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9580</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8110</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6413</v>
      </c>
      <c r="B695" s="3546"/>
      <c r="C695" s="3547" t="s">
        <v>9465</v>
      </c>
      <c r="D695" s="3548" t="s">
        <v>9581</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6416</v>
      </c>
      <c r="B696" s="3546"/>
      <c r="C696" s="3547" t="s">
        <v>9467</v>
      </c>
      <c r="D696" s="3548" t="s">
        <v>9582</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6419</v>
      </c>
      <c r="B697" s="3546"/>
      <c r="C697" s="3547">
        <v>713411121</v>
      </c>
      <c r="D697" s="3548" t="s">
        <v>9583</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6422</v>
      </c>
      <c r="B698" s="3546"/>
      <c r="C698" s="3551" t="s">
        <v>8120</v>
      </c>
      <c r="D698" s="3552" t="s">
        <v>9584</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9585</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9586</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8123</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9698</v>
      </c>
      <c r="D702" s="3526" t="s">
        <v>9588</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9589</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8110</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6429</v>
      </c>
      <c r="B705" s="3546"/>
      <c r="C705" s="3547" t="s">
        <v>9590</v>
      </c>
      <c r="D705" s="3548" t="s">
        <v>9591</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6430</v>
      </c>
      <c r="B706" s="3546"/>
      <c r="C706" s="3547" t="s">
        <v>9592</v>
      </c>
      <c r="D706" s="3548" t="s">
        <v>9593</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6433</v>
      </c>
      <c r="B707" s="3546"/>
      <c r="C707" s="3547">
        <v>713411121</v>
      </c>
      <c r="D707" s="3548" t="s">
        <v>9594</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6436</v>
      </c>
      <c r="B708" s="3546"/>
      <c r="C708" s="3551" t="s">
        <v>8120</v>
      </c>
      <c r="D708" s="3552" t="s">
        <v>9595</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9596</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9597</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8123</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9715</v>
      </c>
      <c r="D712" s="3526" t="s">
        <v>9599</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9600</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8110</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6441</v>
      </c>
      <c r="B715" s="3546"/>
      <c r="C715" s="3547" t="s">
        <v>8112</v>
      </c>
      <c r="D715" s="3548" t="s">
        <v>9601</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6444</v>
      </c>
      <c r="B716" s="3546"/>
      <c r="C716" s="3547" t="s">
        <v>8115</v>
      </c>
      <c r="D716" s="3548" t="s">
        <v>9602</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6447</v>
      </c>
      <c r="B717" s="3546"/>
      <c r="C717" s="3547">
        <v>713411121</v>
      </c>
      <c r="D717" s="3548" t="s">
        <v>9603</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6450</v>
      </c>
      <c r="B718" s="3546"/>
      <c r="C718" s="3551" t="s">
        <v>8120</v>
      </c>
      <c r="D718" s="3552" t="s">
        <v>9604</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9605</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9606</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8123</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9724</v>
      </c>
      <c r="D722" s="3526" t="s">
        <v>9608</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9609</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8110</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6454</v>
      </c>
      <c r="B725" s="3546"/>
      <c r="C725" s="3547" t="s">
        <v>9465</v>
      </c>
      <c r="D725" s="3548" t="s">
        <v>9610</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6456</v>
      </c>
      <c r="B726" s="3546"/>
      <c r="C726" s="3547" t="s">
        <v>9467</v>
      </c>
      <c r="D726" s="3548" t="s">
        <v>9611</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6459</v>
      </c>
      <c r="B727" s="3546"/>
      <c r="C727" s="3547">
        <v>713411121</v>
      </c>
      <c r="D727" s="3548" t="s">
        <v>9612</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6460</v>
      </c>
      <c r="B728" s="3546"/>
      <c r="C728" s="3551" t="s">
        <v>8120</v>
      </c>
      <c r="D728" s="3552" t="s">
        <v>9613</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9614</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9615</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8123</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9733</v>
      </c>
      <c r="D732" s="3526" t="s">
        <v>9617</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9618</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8110</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10182</v>
      </c>
      <c r="B735" s="3546"/>
      <c r="C735" s="3547" t="s">
        <v>8129</v>
      </c>
      <c r="D735" s="3548" t="s">
        <v>9619</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10183</v>
      </c>
      <c r="B736" s="3546"/>
      <c r="C736" s="3547" t="s">
        <v>9290</v>
      </c>
      <c r="D736" s="3548" t="s">
        <v>9620</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10184</v>
      </c>
      <c r="B737" s="3546"/>
      <c r="C737" s="3547">
        <v>713411121</v>
      </c>
      <c r="D737" s="3548" t="s">
        <v>9621</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10185</v>
      </c>
      <c r="B738" s="3546"/>
      <c r="C738" s="3551" t="s">
        <v>8120</v>
      </c>
      <c r="D738" s="3552" t="s">
        <v>9622</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9623</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9624</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8123</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9749</v>
      </c>
      <c r="D742" s="3526" t="s">
        <v>8108</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8109</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8110</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10186</v>
      </c>
      <c r="B745" s="3546"/>
      <c r="C745" s="3547" t="s">
        <v>8112</v>
      </c>
      <c r="D745" s="3548" t="s">
        <v>9626</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10187</v>
      </c>
      <c r="B746" s="3546"/>
      <c r="C746" s="3547" t="s">
        <v>8115</v>
      </c>
      <c r="D746" s="3548" t="s">
        <v>9627</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10188</v>
      </c>
      <c r="B747" s="3546"/>
      <c r="C747" s="3547">
        <v>713411121</v>
      </c>
      <c r="D747" s="3548" t="s">
        <v>9628</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10189</v>
      </c>
      <c r="B748" s="3546"/>
      <c r="C748" s="3551" t="s">
        <v>8120</v>
      </c>
      <c r="D748" s="3552" t="s">
        <v>9629</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9630</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9631</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8123</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9758</v>
      </c>
      <c r="D752" s="3526" t="s">
        <v>9632</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9633</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9082</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10190</v>
      </c>
      <c r="B755" s="3546"/>
      <c r="C755" s="3547" t="s">
        <v>8112</v>
      </c>
      <c r="D755" s="3548" t="s">
        <v>9634</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10191</v>
      </c>
      <c r="B756" s="3546"/>
      <c r="C756" s="3547" t="s">
        <v>8115</v>
      </c>
      <c r="D756" s="3548" t="s">
        <v>9635</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10192</v>
      </c>
      <c r="B757" s="3546"/>
      <c r="C757" s="3547">
        <v>713411121</v>
      </c>
      <c r="D757" s="3548" t="s">
        <v>9636</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10193</v>
      </c>
      <c r="B758" s="3546"/>
      <c r="C758" s="3551" t="s">
        <v>9086</v>
      </c>
      <c r="D758" s="3552" t="s">
        <v>9637</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9630</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9638</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8123</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9774</v>
      </c>
      <c r="D762" s="3526" t="s">
        <v>9640</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9641</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8110</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10194</v>
      </c>
      <c r="B765" s="3546"/>
      <c r="C765" s="3547" t="s">
        <v>8129</v>
      </c>
      <c r="D765" s="3548" t="s">
        <v>9642</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10195</v>
      </c>
      <c r="B766" s="3546"/>
      <c r="C766" s="3547" t="s">
        <v>9290</v>
      </c>
      <c r="D766" s="3548" t="s">
        <v>9643</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10196</v>
      </c>
      <c r="B767" s="3546"/>
      <c r="C767" s="3547">
        <v>713411121</v>
      </c>
      <c r="D767" s="3548" t="s">
        <v>9644</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10197</v>
      </c>
      <c r="B768" s="3546"/>
      <c r="C768" s="3551" t="s">
        <v>8120</v>
      </c>
      <c r="D768" s="3552" t="s">
        <v>9645</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9646</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9647</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8123</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9783</v>
      </c>
      <c r="D772" s="3526" t="s">
        <v>9648</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9649</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9082</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10198</v>
      </c>
      <c r="B775" s="3546"/>
      <c r="C775" s="3547" t="s">
        <v>8129</v>
      </c>
      <c r="D775" s="3548" t="s">
        <v>9650</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10199</v>
      </c>
      <c r="B776" s="3546"/>
      <c r="C776" s="3547" t="s">
        <v>9290</v>
      </c>
      <c r="D776" s="3548" t="s">
        <v>9651</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10200</v>
      </c>
      <c r="B777" s="3546"/>
      <c r="C777" s="3547">
        <v>713411121</v>
      </c>
      <c r="D777" s="3548" t="s">
        <v>9652</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10201</v>
      </c>
      <c r="B778" s="3546"/>
      <c r="C778" s="3551" t="s">
        <v>9086</v>
      </c>
      <c r="D778" s="3552" t="s">
        <v>9653</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9646</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9654</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8123</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9801</v>
      </c>
      <c r="D782" s="3526" t="s">
        <v>9656</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9657</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8110</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10202</v>
      </c>
      <c r="B785" s="3546"/>
      <c r="C785" s="3547" t="s">
        <v>8129</v>
      </c>
      <c r="D785" s="3548" t="s">
        <v>9658</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10203</v>
      </c>
      <c r="B786" s="3546"/>
      <c r="C786" s="3547" t="s">
        <v>9290</v>
      </c>
      <c r="D786" s="3548" t="s">
        <v>9659</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10204</v>
      </c>
      <c r="B787" s="3546"/>
      <c r="C787" s="3547">
        <v>713411121</v>
      </c>
      <c r="D787" s="3548" t="s">
        <v>9660</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10205</v>
      </c>
      <c r="B788" s="3546"/>
      <c r="C788" s="3551" t="s">
        <v>8120</v>
      </c>
      <c r="D788" s="3552" t="s">
        <v>9661</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9662</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9663</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8123</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9810</v>
      </c>
      <c r="D792" s="3526" t="s">
        <v>9665</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9666</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8110</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10206</v>
      </c>
      <c r="B795" s="3546"/>
      <c r="C795" s="3547" t="s">
        <v>8129</v>
      </c>
      <c r="D795" s="3548" t="s">
        <v>9667</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10207</v>
      </c>
      <c r="B796" s="3546"/>
      <c r="C796" s="3547" t="s">
        <v>9290</v>
      </c>
      <c r="D796" s="3548" t="s">
        <v>9668</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10208</v>
      </c>
      <c r="B797" s="3546"/>
      <c r="C797" s="3547">
        <v>713411121</v>
      </c>
      <c r="D797" s="3548" t="s">
        <v>9669</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10209</v>
      </c>
      <c r="B798" s="3546"/>
      <c r="C798" s="3551" t="s">
        <v>8120</v>
      </c>
      <c r="D798" s="3552" t="s">
        <v>9670</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9671</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9672</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8123</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9819</v>
      </c>
      <c r="D802" s="3526" t="s">
        <v>9673</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9674</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9082</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10210</v>
      </c>
      <c r="B805" s="3546"/>
      <c r="C805" s="3547" t="s">
        <v>8129</v>
      </c>
      <c r="D805" s="3548" t="s">
        <v>9675</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10211</v>
      </c>
      <c r="B806" s="3546"/>
      <c r="C806" s="3547" t="s">
        <v>9290</v>
      </c>
      <c r="D806" s="3548" t="s">
        <v>9676</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10212</v>
      </c>
      <c r="B807" s="3546"/>
      <c r="C807" s="3547">
        <v>713411121</v>
      </c>
      <c r="D807" s="3548" t="s">
        <v>9677</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10213</v>
      </c>
      <c r="B808" s="3546"/>
      <c r="C808" s="3551" t="s">
        <v>9086</v>
      </c>
      <c r="D808" s="3552" t="s">
        <v>9678</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9671</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9679</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8123</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9828</v>
      </c>
      <c r="D812" s="3526" t="s">
        <v>9681</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9682</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8110</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10214</v>
      </c>
      <c r="B815" s="3546"/>
      <c r="C815" s="3547" t="s">
        <v>8129</v>
      </c>
      <c r="D815" s="3548" t="s">
        <v>9683</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10215</v>
      </c>
      <c r="B816" s="3546"/>
      <c r="C816" s="3547" t="s">
        <v>9290</v>
      </c>
      <c r="D816" s="3548" t="s">
        <v>9684</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10216</v>
      </c>
      <c r="B817" s="3546"/>
      <c r="C817" s="3547">
        <v>713411121</v>
      </c>
      <c r="D817" s="3548" t="s">
        <v>9685</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10217</v>
      </c>
      <c r="B818" s="3546"/>
      <c r="C818" s="3551" t="s">
        <v>8120</v>
      </c>
      <c r="D818" s="3552" t="s">
        <v>9686</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9687</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9688</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8123</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9837</v>
      </c>
      <c r="D822" s="3526" t="s">
        <v>9690</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9691</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8110</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10218</v>
      </c>
      <c r="B825" s="3546"/>
      <c r="C825" s="3547" t="s">
        <v>9465</v>
      </c>
      <c r="D825" s="3548" t="s">
        <v>9692</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10219</v>
      </c>
      <c r="B826" s="3546"/>
      <c r="C826" s="3547" t="s">
        <v>9467</v>
      </c>
      <c r="D826" s="3548" t="s">
        <v>9693</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10220</v>
      </c>
      <c r="B827" s="3546"/>
      <c r="C827" s="3547">
        <v>713411121</v>
      </c>
      <c r="D827" s="3548" t="s">
        <v>9694</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10221</v>
      </c>
      <c r="B828" s="3546"/>
      <c r="C828" s="3551" t="s">
        <v>8120</v>
      </c>
      <c r="D828" s="3552" t="s">
        <v>9695</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9696</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9697</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8123</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9846</v>
      </c>
      <c r="D832" s="3526" t="s">
        <v>9699</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9700</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8110</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10222</v>
      </c>
      <c r="B835" s="3546"/>
      <c r="C835" s="3547" t="s">
        <v>9465</v>
      </c>
      <c r="D835" s="3548" t="s">
        <v>9701</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10223</v>
      </c>
      <c r="B836" s="3546"/>
      <c r="C836" s="3547" t="s">
        <v>9467</v>
      </c>
      <c r="D836" s="3548" t="s">
        <v>9702</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10224</v>
      </c>
      <c r="B837" s="3546"/>
      <c r="C837" s="3547">
        <v>713411121</v>
      </c>
      <c r="D837" s="3548" t="s">
        <v>9703</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10225</v>
      </c>
      <c r="B838" s="3546"/>
      <c r="C838" s="3551" t="s">
        <v>8120</v>
      </c>
      <c r="D838" s="3552" t="s">
        <v>9704</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9705</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9706</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8123</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9855</v>
      </c>
      <c r="D842" s="3526" t="s">
        <v>9707</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9455</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9102</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10226</v>
      </c>
      <c r="B845" s="3546"/>
      <c r="C845" s="3547" t="s">
        <v>9290</v>
      </c>
      <c r="D845" s="3548" t="s">
        <v>9708</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10227</v>
      </c>
      <c r="B846" s="3546"/>
      <c r="C846" s="3547">
        <v>713411121</v>
      </c>
      <c r="D846" s="3548" t="s">
        <v>9709</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10228</v>
      </c>
      <c r="B847" s="3546"/>
      <c r="C847" s="3551" t="s">
        <v>9105</v>
      </c>
      <c r="D847" s="3552" t="s">
        <v>9710</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10229</v>
      </c>
      <c r="B848" s="3546"/>
      <c r="C848" s="3547">
        <v>713491211</v>
      </c>
      <c r="D848" s="3547" t="s">
        <v>9711</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10230</v>
      </c>
      <c r="B849" s="3546"/>
      <c r="C849" s="3551">
        <v>13756626</v>
      </c>
      <c r="D849" s="3551" t="s">
        <v>9712</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9713</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9714</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8123</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9869</v>
      </c>
      <c r="D853" s="3526" t="s">
        <v>9716</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9717</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8110</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10231</v>
      </c>
      <c r="B856" s="3546"/>
      <c r="C856" s="3547" t="s">
        <v>9465</v>
      </c>
      <c r="D856" s="3548" t="s">
        <v>9718</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10232</v>
      </c>
      <c r="B857" s="3546"/>
      <c r="C857" s="3547" t="s">
        <v>9467</v>
      </c>
      <c r="D857" s="3548" t="s">
        <v>9719</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10233</v>
      </c>
      <c r="B858" s="3546"/>
      <c r="C858" s="3547">
        <v>713411121</v>
      </c>
      <c r="D858" s="3548" t="s">
        <v>9720</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10234</v>
      </c>
      <c r="B859" s="3546"/>
      <c r="C859" s="3551" t="s">
        <v>8120</v>
      </c>
      <c r="D859" s="3552" t="s">
        <v>9721</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9722</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9723</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8123</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9878</v>
      </c>
      <c r="D863" s="3526" t="s">
        <v>9725</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9726</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8110</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10235</v>
      </c>
      <c r="B866" s="3546"/>
      <c r="C866" s="3547" t="s">
        <v>9590</v>
      </c>
      <c r="D866" s="3548" t="s">
        <v>9727</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10236</v>
      </c>
      <c r="B867" s="3546"/>
      <c r="C867" s="3547" t="s">
        <v>9592</v>
      </c>
      <c r="D867" s="3548" t="s">
        <v>9728</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10237</v>
      </c>
      <c r="B868" s="3546"/>
      <c r="C868" s="3547">
        <v>713411121</v>
      </c>
      <c r="D868" s="3548" t="s">
        <v>9729</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10238</v>
      </c>
      <c r="B869" s="3546"/>
      <c r="C869" s="3551" t="s">
        <v>8120</v>
      </c>
      <c r="D869" s="3552" t="s">
        <v>9730</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9731</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9732</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8123</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9889</v>
      </c>
      <c r="D873" s="3526" t="s">
        <v>9734</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9735</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8110</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10239</v>
      </c>
      <c r="B876" s="3546"/>
      <c r="C876" s="3547" t="s">
        <v>8129</v>
      </c>
      <c r="D876" s="3548" t="s">
        <v>9736</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10240</v>
      </c>
      <c r="B877" s="3546"/>
      <c r="C877" s="3547" t="s">
        <v>9290</v>
      </c>
      <c r="D877" s="3548" t="s">
        <v>9737</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10241</v>
      </c>
      <c r="B878" s="3546"/>
      <c r="C878" s="3547">
        <v>713411121</v>
      </c>
      <c r="D878" s="3548" t="s">
        <v>9738</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10242</v>
      </c>
      <c r="B879" s="3546"/>
      <c r="C879" s="3551" t="s">
        <v>8120</v>
      </c>
      <c r="D879" s="3552" t="s">
        <v>9739</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9740</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9741</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8123</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9898</v>
      </c>
      <c r="D883" s="3526" t="s">
        <v>9742</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9743</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9082</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10243</v>
      </c>
      <c r="B886" s="3546"/>
      <c r="C886" s="3547" t="s">
        <v>8129</v>
      </c>
      <c r="D886" s="3548" t="s">
        <v>9744</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10244</v>
      </c>
      <c r="B887" s="3546"/>
      <c r="C887" s="3547" t="s">
        <v>9290</v>
      </c>
      <c r="D887" s="3548" t="s">
        <v>9745</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10245</v>
      </c>
      <c r="B888" s="3546"/>
      <c r="C888" s="3547">
        <v>713411121</v>
      </c>
      <c r="D888" s="3548" t="s">
        <v>9746</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10246</v>
      </c>
      <c r="B889" s="3546"/>
      <c r="C889" s="3551" t="s">
        <v>9086</v>
      </c>
      <c r="D889" s="3552" t="s">
        <v>9747</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9740</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9748</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8123</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10247</v>
      </c>
      <c r="D893" s="3526" t="s">
        <v>9750</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9751</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8110</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10248</v>
      </c>
      <c r="B896" s="3546"/>
      <c r="C896" s="3547" t="s">
        <v>8129</v>
      </c>
      <c r="D896" s="3548" t="s">
        <v>9752</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10249</v>
      </c>
      <c r="B897" s="3546"/>
      <c r="C897" s="3547" t="s">
        <v>9290</v>
      </c>
      <c r="D897" s="3548" t="s">
        <v>9753</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10250</v>
      </c>
      <c r="B898" s="3546"/>
      <c r="C898" s="3547">
        <v>713411121</v>
      </c>
      <c r="D898" s="3548" t="s">
        <v>9754</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10251</v>
      </c>
      <c r="B899" s="3546"/>
      <c r="C899" s="3551" t="s">
        <v>8120</v>
      </c>
      <c r="D899" s="3552" t="s">
        <v>9755</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9756</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9757</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8123</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10252</v>
      </c>
      <c r="D903" s="3526" t="s">
        <v>9759</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9760</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8110</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10253</v>
      </c>
      <c r="B906" s="3546"/>
      <c r="C906" s="3547" t="s">
        <v>8129</v>
      </c>
      <c r="D906" s="3548" t="s">
        <v>9761</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10254</v>
      </c>
      <c r="B907" s="3546"/>
      <c r="C907" s="3547" t="s">
        <v>9290</v>
      </c>
      <c r="D907" s="3548" t="s">
        <v>9762</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10255</v>
      </c>
      <c r="B908" s="3546"/>
      <c r="C908" s="3547">
        <v>713411121</v>
      </c>
      <c r="D908" s="3548" t="s">
        <v>9763</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10256</v>
      </c>
      <c r="B909" s="3546"/>
      <c r="C909" s="3551" t="s">
        <v>8120</v>
      </c>
      <c r="D909" s="3552" t="s">
        <v>9764</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9765</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9766</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8123</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10257</v>
      </c>
      <c r="D913" s="3526" t="s">
        <v>9767</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9768</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9082</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10258</v>
      </c>
      <c r="B916" s="3546"/>
      <c r="C916" s="3547" t="s">
        <v>8129</v>
      </c>
      <c r="D916" s="3548" t="s">
        <v>9769</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10259</v>
      </c>
      <c r="B917" s="3546"/>
      <c r="C917" s="3547" t="s">
        <v>9290</v>
      </c>
      <c r="D917" s="3548" t="s">
        <v>9770</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10260</v>
      </c>
      <c r="B918" s="3546"/>
      <c r="C918" s="3547">
        <v>713411121</v>
      </c>
      <c r="D918" s="3548" t="s">
        <v>9771</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10261</v>
      </c>
      <c r="B919" s="3546"/>
      <c r="C919" s="3551" t="s">
        <v>9086</v>
      </c>
      <c r="D919" s="3552" t="s">
        <v>9772</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9765</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9773</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8123</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10262</v>
      </c>
      <c r="D923" s="3526" t="s">
        <v>9775</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9776</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8110</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10263</v>
      </c>
      <c r="B926" s="3546"/>
      <c r="C926" s="3547" t="s">
        <v>9465</v>
      </c>
      <c r="D926" s="3548" t="s">
        <v>9777</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10264</v>
      </c>
      <c r="B927" s="3546"/>
      <c r="C927" s="3547" t="s">
        <v>9467</v>
      </c>
      <c r="D927" s="3548" t="s">
        <v>9778</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10265</v>
      </c>
      <c r="B928" s="3546"/>
      <c r="C928" s="3547">
        <v>713411121</v>
      </c>
      <c r="D928" s="3548" t="s">
        <v>9779</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10266</v>
      </c>
      <c r="B929" s="3546"/>
      <c r="C929" s="3551" t="s">
        <v>8120</v>
      </c>
      <c r="D929" s="3552" t="s">
        <v>9780</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9781</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9782</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8123</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10267</v>
      </c>
      <c r="D933" s="3526" t="s">
        <v>9784</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9785</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8110</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10268</v>
      </c>
      <c r="B936" s="3546"/>
      <c r="C936" s="3547" t="s">
        <v>9590</v>
      </c>
      <c r="D936" s="3548" t="s">
        <v>9786</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10269</v>
      </c>
      <c r="B937" s="3546"/>
      <c r="C937" s="3547" t="s">
        <v>9592</v>
      </c>
      <c r="D937" s="3548" t="s">
        <v>9787</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10270</v>
      </c>
      <c r="B938" s="3546"/>
      <c r="C938" s="3547">
        <v>713411121</v>
      </c>
      <c r="D938" s="3548" t="s">
        <v>9788</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10271</v>
      </c>
      <c r="B939" s="3546"/>
      <c r="C939" s="3551" t="s">
        <v>8120</v>
      </c>
      <c r="D939" s="3552" t="s">
        <v>9789</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9790</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9791</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8123</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10272</v>
      </c>
      <c r="D943" s="3526" t="s">
        <v>9792</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9793</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9102</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10273</v>
      </c>
      <c r="B946" s="3546"/>
      <c r="C946" s="3547" t="s">
        <v>9290</v>
      </c>
      <c r="D946" s="3548" t="s">
        <v>9794</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10274</v>
      </c>
      <c r="B947" s="3546"/>
      <c r="C947" s="3547">
        <v>713411121</v>
      </c>
      <c r="D947" s="3548" t="s">
        <v>9795</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10275</v>
      </c>
      <c r="B948" s="3546"/>
      <c r="C948" s="3551" t="s">
        <v>9105</v>
      </c>
      <c r="D948" s="3552" t="s">
        <v>9796</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10276</v>
      </c>
      <c r="B949" s="3546"/>
      <c r="C949" s="3547">
        <v>713491211</v>
      </c>
      <c r="D949" s="3547" t="s">
        <v>9797</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10277</v>
      </c>
      <c r="B950" s="3546"/>
      <c r="C950" s="3551">
        <v>13756626</v>
      </c>
      <c r="D950" s="3551" t="s">
        <v>9798</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9799</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9800</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8123</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10278</v>
      </c>
      <c r="D954" s="3526" t="s">
        <v>9802</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9803</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8110</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10279</v>
      </c>
      <c r="B957" s="3546"/>
      <c r="C957" s="3547" t="s">
        <v>9590</v>
      </c>
      <c r="D957" s="3548" t="s">
        <v>9804</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10280</v>
      </c>
      <c r="B958" s="3546"/>
      <c r="C958" s="3547" t="s">
        <v>9592</v>
      </c>
      <c r="D958" s="3548" t="s">
        <v>9805</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10281</v>
      </c>
      <c r="B959" s="3546"/>
      <c r="C959" s="3547">
        <v>713411121</v>
      </c>
      <c r="D959" s="3548" t="s">
        <v>9806</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10282</v>
      </c>
      <c r="B960" s="3546"/>
      <c r="C960" s="3551" t="s">
        <v>8120</v>
      </c>
      <c r="D960" s="3552" t="s">
        <v>9807</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9808</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9809</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8123</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10283</v>
      </c>
      <c r="D964" s="3526" t="s">
        <v>9811</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9812</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8110</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10284</v>
      </c>
      <c r="B967" s="3546"/>
      <c r="C967" s="3547" t="s">
        <v>9590</v>
      </c>
      <c r="D967" s="3548" t="s">
        <v>9813</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10285</v>
      </c>
      <c r="B968" s="3546"/>
      <c r="C968" s="3547" t="s">
        <v>9592</v>
      </c>
      <c r="D968" s="3548" t="s">
        <v>9814</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10286</v>
      </c>
      <c r="B969" s="3546"/>
      <c r="C969" s="3547">
        <v>713411121</v>
      </c>
      <c r="D969" s="3548" t="s">
        <v>9815</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10287</v>
      </c>
      <c r="B970" s="3546"/>
      <c r="C970" s="3551" t="s">
        <v>8120</v>
      </c>
      <c r="D970" s="3552" t="s">
        <v>9816</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9817</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9818</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8123</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10288</v>
      </c>
      <c r="D974" s="3526" t="s">
        <v>9820</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9821</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8110</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6553</v>
      </c>
      <c r="B977" s="3546"/>
      <c r="C977" s="3547" t="s">
        <v>9590</v>
      </c>
      <c r="D977" s="3548" t="s">
        <v>9822</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6554</v>
      </c>
      <c r="B978" s="3546"/>
      <c r="C978" s="3547" t="s">
        <v>9592</v>
      </c>
      <c r="D978" s="3548" t="s">
        <v>9823</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10289</v>
      </c>
      <c r="B979" s="3546"/>
      <c r="C979" s="3547">
        <v>713411121</v>
      </c>
      <c r="D979" s="3548" t="s">
        <v>9824</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10290</v>
      </c>
      <c r="B980" s="3546"/>
      <c r="C980" s="3551" t="s">
        <v>8120</v>
      </c>
      <c r="D980" s="3552" t="s">
        <v>9825</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9826</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9827</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8123</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10291</v>
      </c>
      <c r="D984" s="3526" t="s">
        <v>9829</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9830</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8110</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6558</v>
      </c>
      <c r="B987" s="3546"/>
      <c r="C987" s="3547" t="s">
        <v>8129</v>
      </c>
      <c r="D987" s="3548" t="s">
        <v>9831</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6559</v>
      </c>
      <c r="B988" s="3546"/>
      <c r="C988" s="3547" t="s">
        <v>9290</v>
      </c>
      <c r="D988" s="3548" t="s">
        <v>9832</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6560</v>
      </c>
      <c r="B989" s="3546"/>
      <c r="C989" s="3547">
        <v>713411121</v>
      </c>
      <c r="D989" s="3548" t="s">
        <v>9833</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10292</v>
      </c>
      <c r="B990" s="3546"/>
      <c r="C990" s="3551" t="s">
        <v>8120</v>
      </c>
      <c r="D990" s="3552" t="s">
        <v>9834</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9835</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9836</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8123</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10293</v>
      </c>
      <c r="D994" s="3526" t="s">
        <v>9838</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9839</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8110</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6564</v>
      </c>
      <c r="B997" s="3546"/>
      <c r="C997" s="3547" t="s">
        <v>9465</v>
      </c>
      <c r="D997" s="3548" t="s">
        <v>9840</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6566</v>
      </c>
      <c r="B998" s="3546"/>
      <c r="C998" s="3547" t="s">
        <v>9467</v>
      </c>
      <c r="D998" s="3548" t="s">
        <v>9841</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10294</v>
      </c>
      <c r="B999" s="3546"/>
      <c r="C999" s="3547">
        <v>713411121</v>
      </c>
      <c r="D999" s="3548" t="s">
        <v>9842</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10295</v>
      </c>
      <c r="B1000" s="3546"/>
      <c r="C1000" s="3551" t="s">
        <v>8120</v>
      </c>
      <c r="D1000" s="3552" t="s">
        <v>9843</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9844</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9845</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8123</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10296</v>
      </c>
      <c r="D1004" s="3526" t="s">
        <v>9847</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9848</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9082</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6572</v>
      </c>
      <c r="B1007" s="3546"/>
      <c r="C1007" s="3547" t="s">
        <v>9465</v>
      </c>
      <c r="D1007" s="3548" t="s">
        <v>9849</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6573</v>
      </c>
      <c r="B1008" s="3546"/>
      <c r="C1008" s="3547" t="s">
        <v>9467</v>
      </c>
      <c r="D1008" s="3548" t="s">
        <v>9850</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6574</v>
      </c>
      <c r="B1009" s="3546"/>
      <c r="C1009" s="3547">
        <v>713411121</v>
      </c>
      <c r="D1009" s="3548" t="s">
        <v>9851</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10297</v>
      </c>
      <c r="B1010" s="3546"/>
      <c r="C1010" s="3551" t="s">
        <v>9086</v>
      </c>
      <c r="D1010" s="3552" t="s">
        <v>9852</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9853</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9854</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8123</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10298</v>
      </c>
      <c r="D1014" s="3526" t="s">
        <v>9856</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9857</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8110</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6578</v>
      </c>
      <c r="B1017" s="3546"/>
      <c r="C1017" s="3547" t="s">
        <v>9465</v>
      </c>
      <c r="D1017" s="3548" t="s">
        <v>9858</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6580</v>
      </c>
      <c r="B1018" s="3546"/>
      <c r="C1018" s="3547" t="s">
        <v>9467</v>
      </c>
      <c r="D1018" s="3548" t="s">
        <v>9859</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10299</v>
      </c>
      <c r="B1019" s="3546"/>
      <c r="C1019" s="3547">
        <v>713411121</v>
      </c>
      <c r="D1019" s="3548" t="s">
        <v>9860</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10300</v>
      </c>
      <c r="B1020" s="3546"/>
      <c r="C1020" s="3551" t="s">
        <v>8120</v>
      </c>
      <c r="D1020" s="3552" t="s">
        <v>9861</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9862</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9863</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8123</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10301</v>
      </c>
      <c r="D1024" s="3526" t="s">
        <v>9856</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9857</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9082</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6585</v>
      </c>
      <c r="B1027" s="3546"/>
      <c r="C1027" s="3547" t="s">
        <v>9465</v>
      </c>
      <c r="D1027" s="3548" t="s">
        <v>9864</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6587</v>
      </c>
      <c r="B1028" s="3546"/>
      <c r="C1028" s="3547" t="s">
        <v>9467</v>
      </c>
      <c r="D1028" s="3548" t="s">
        <v>9865</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6589</v>
      </c>
      <c r="B1029" s="3546"/>
      <c r="C1029" s="3547">
        <v>713411121</v>
      </c>
      <c r="D1029" s="3548" t="s">
        <v>9866</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10302</v>
      </c>
      <c r="B1030" s="3546"/>
      <c r="C1030" s="3551" t="s">
        <v>9086</v>
      </c>
      <c r="D1030" s="3552" t="s">
        <v>9867</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9862</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9868</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8123</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10303</v>
      </c>
      <c r="D1034" s="3526" t="s">
        <v>9870</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9871</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8110</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6595</v>
      </c>
      <c r="B1037" s="3546"/>
      <c r="C1037" s="3547" t="s">
        <v>9590</v>
      </c>
      <c r="D1037" s="3548" t="s">
        <v>9872</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6597</v>
      </c>
      <c r="B1038" s="3546"/>
      <c r="C1038" s="3547" t="s">
        <v>9592</v>
      </c>
      <c r="D1038" s="3548" t="s">
        <v>9873</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10304</v>
      </c>
      <c r="B1039" s="3546"/>
      <c r="C1039" s="3547">
        <v>713411121</v>
      </c>
      <c r="D1039" s="3548" t="s">
        <v>9874</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10305</v>
      </c>
      <c r="B1040" s="3546"/>
      <c r="C1040" s="3551" t="s">
        <v>8120</v>
      </c>
      <c r="D1040" s="3552" t="s">
        <v>9875</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9876</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9877</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8123</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10306</v>
      </c>
      <c r="D1044" s="3526" t="s">
        <v>9879</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9880</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8110</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6603</v>
      </c>
      <c r="B1047" s="3546"/>
      <c r="C1047" s="3547" t="s">
        <v>9881</v>
      </c>
      <c r="D1047" s="3548" t="s">
        <v>9882</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6605</v>
      </c>
      <c r="B1048" s="3546"/>
      <c r="C1048" s="3547" t="s">
        <v>9883</v>
      </c>
      <c r="D1048" s="3548" t="s">
        <v>9884</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6607</v>
      </c>
      <c r="B1049" s="3546"/>
      <c r="C1049" s="3547">
        <v>713411121</v>
      </c>
      <c r="D1049" s="3548" t="s">
        <v>9885</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10307</v>
      </c>
      <c r="B1050" s="3546"/>
      <c r="C1050" s="3551" t="s">
        <v>8120</v>
      </c>
      <c r="D1050" s="3552" t="s">
        <v>9886</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9887</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9888</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8123</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10308</v>
      </c>
      <c r="D1054" s="3526" t="s">
        <v>9890</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9891</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8110</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6613</v>
      </c>
      <c r="B1057" s="3546"/>
      <c r="C1057" s="3547" t="s">
        <v>9590</v>
      </c>
      <c r="D1057" s="3548" t="s">
        <v>9892</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6615</v>
      </c>
      <c r="B1058" s="3546"/>
      <c r="C1058" s="3547" t="s">
        <v>9592</v>
      </c>
      <c r="D1058" s="3548" t="s">
        <v>9893</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10309</v>
      </c>
      <c r="B1059" s="3546"/>
      <c r="C1059" s="3547">
        <v>713411121</v>
      </c>
      <c r="D1059" s="3548" t="s">
        <v>9894</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10310</v>
      </c>
      <c r="B1060" s="3546"/>
      <c r="C1060" s="3551" t="s">
        <v>8120</v>
      </c>
      <c r="D1060" s="3552" t="s">
        <v>9895</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9896</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9897</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8123</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10311</v>
      </c>
      <c r="D1064" s="3526" t="s">
        <v>9899</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9900</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8110</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6621</v>
      </c>
      <c r="B1067" s="3546"/>
      <c r="C1067" s="3547" t="s">
        <v>9881</v>
      </c>
      <c r="D1067" s="3548" t="s">
        <v>9901</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6623</v>
      </c>
      <c r="B1068" s="3546"/>
      <c r="C1068" s="3547" t="s">
        <v>9883</v>
      </c>
      <c r="D1068" s="3548" t="s">
        <v>9902</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6625</v>
      </c>
      <c r="B1069" s="3546"/>
      <c r="C1069" s="3547">
        <v>713411121</v>
      </c>
      <c r="D1069" s="3548" t="s">
        <v>9903</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10312</v>
      </c>
      <c r="B1070" s="3546"/>
      <c r="C1070" s="3551" t="s">
        <v>8120</v>
      </c>
      <c r="D1070" s="3552" t="s">
        <v>9904</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9905</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9906</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8123</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10313</v>
      </c>
      <c r="D1074" s="3536" t="s">
        <v>6531</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9908</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6533</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10473</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10314</v>
      </c>
      <c r="E1078" s="4526"/>
      <c r="F1078" s="4528"/>
      <c r="G1078" s="4529"/>
      <c r="H1078" s="3913"/>
      <c r="I1078" s="3934"/>
      <c r="J1078" s="4511"/>
      <c r="K1078" s="5075"/>
    </row>
    <row r="1079" spans="1:122" s="3560" customFormat="1" ht="270">
      <c r="A1079" s="4525"/>
      <c r="B1079" s="4526"/>
      <c r="C1079" s="4526"/>
      <c r="D1079" s="4527" t="s">
        <v>10315</v>
      </c>
      <c r="E1079" s="4526"/>
      <c r="F1079" s="4528"/>
      <c r="G1079" s="4529"/>
      <c r="H1079" s="3913"/>
      <c r="I1079" s="3934"/>
      <c r="J1079" s="4511"/>
      <c r="K1079" s="5075"/>
      <c r="M1079" s="5076"/>
    </row>
    <row r="1080" spans="1:122" s="3560" customFormat="1" ht="135">
      <c r="A1080" s="4525"/>
      <c r="B1080" s="4526"/>
      <c r="C1080" s="4526"/>
      <c r="D1080" s="4527" t="s">
        <v>10316</v>
      </c>
      <c r="E1080" s="4526"/>
      <c r="F1080" s="4528"/>
      <c r="G1080" s="4529"/>
      <c r="H1080" s="3913"/>
      <c r="I1080" s="3934"/>
      <c r="J1080" s="4511"/>
      <c r="K1080" s="5075"/>
    </row>
    <row r="1081" spans="1:122" s="3560" customFormat="1" ht="101.25">
      <c r="A1081" s="4525"/>
      <c r="B1081" s="4526"/>
      <c r="C1081" s="4526"/>
      <c r="D1081" s="4527" t="s">
        <v>10317</v>
      </c>
      <c r="E1081" s="4526"/>
      <c r="F1081" s="4528"/>
      <c r="G1081" s="4529"/>
      <c r="H1081" s="3913"/>
      <c r="I1081" s="3934"/>
      <c r="J1081" s="4511"/>
      <c r="K1081" s="5075"/>
    </row>
    <row r="1082" spans="1:122" s="3560" customFormat="1" ht="146.25">
      <c r="A1082" s="4525"/>
      <c r="B1082" s="4526"/>
      <c r="C1082" s="4526"/>
      <c r="D1082" s="4527" t="s">
        <v>10318</v>
      </c>
      <c r="E1082" s="4526"/>
      <c r="F1082" s="4528"/>
      <c r="G1082" s="4529"/>
      <c r="H1082" s="3913"/>
      <c r="I1082" s="3934"/>
      <c r="J1082" s="4511"/>
      <c r="K1082" s="5075"/>
    </row>
    <row r="1083" spans="1:122" s="3560" customFormat="1" ht="168.75">
      <c r="A1083" s="4525"/>
      <c r="B1083" s="4526"/>
      <c r="C1083" s="4526"/>
      <c r="D1083" s="4527" t="s">
        <v>10319</v>
      </c>
      <c r="E1083" s="4526"/>
      <c r="F1083" s="4528"/>
      <c r="G1083" s="4529"/>
      <c r="H1083" s="3913"/>
      <c r="I1083" s="3934"/>
      <c r="J1083" s="4511"/>
      <c r="K1083" s="5075"/>
    </row>
    <row r="1084" spans="1:122" s="3560" customFormat="1" ht="157.5">
      <c r="A1084" s="4525"/>
      <c r="B1084" s="4526"/>
      <c r="C1084" s="4526"/>
      <c r="D1084" s="4527" t="s">
        <v>10320</v>
      </c>
      <c r="E1084" s="4526"/>
      <c r="F1084" s="4528"/>
      <c r="G1084" s="4529"/>
      <c r="H1084" s="3913"/>
      <c r="I1084" s="3934"/>
      <c r="J1084" s="4511"/>
      <c r="K1084" s="5075"/>
    </row>
    <row r="1085" spans="1:122" s="3560" customFormat="1" ht="146.25">
      <c r="A1085" s="4525"/>
      <c r="B1085" s="4526"/>
      <c r="C1085" s="4526"/>
      <c r="D1085" s="4527" t="s">
        <v>10321</v>
      </c>
      <c r="E1085" s="4526"/>
      <c r="F1085" s="4528"/>
      <c r="G1085" s="4529"/>
      <c r="H1085" s="3913"/>
      <c r="I1085" s="3934"/>
      <c r="J1085" s="4511"/>
      <c r="K1085" s="5075"/>
    </row>
    <row r="1086" spans="1:122" s="2303" customFormat="1" ht="40.5" customHeight="1">
      <c r="A1086" s="3750"/>
      <c r="B1086" s="3695"/>
      <c r="C1086" s="3695"/>
      <c r="D1086" s="4483" t="s">
        <v>10472</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10460</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9907</v>
      </c>
      <c r="D1088" s="3536" t="s">
        <v>6535</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6536</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6537</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10673</v>
      </c>
      <c r="E1091" s="4374"/>
      <c r="F1091" s="4375"/>
      <c r="G1091" s="4376"/>
      <c r="H1091" s="4370"/>
      <c r="I1091" s="3849"/>
      <c r="J1091" s="3726"/>
      <c r="K1091" s="4855"/>
      <c r="L1091" s="4855"/>
    </row>
    <row r="1092" spans="1:109" s="4367" customFormat="1" ht="40.700000000000003" customHeight="1">
      <c r="A1092" s="4372"/>
      <c r="B1092" s="4373"/>
      <c r="C1092" s="4373"/>
      <c r="D1092" s="4483" t="s">
        <v>10674</v>
      </c>
      <c r="E1092" s="4374"/>
      <c r="F1092" s="4375"/>
      <c r="G1092" s="4376"/>
      <c r="H1092" s="4370"/>
      <c r="I1092" s="3849"/>
      <c r="J1092" s="3726"/>
      <c r="K1092" s="4855"/>
      <c r="L1092" s="4855"/>
    </row>
    <row r="1093" spans="1:109" s="4367" customFormat="1" ht="40.5" customHeight="1">
      <c r="A1093" s="4372"/>
      <c r="B1093" s="4373"/>
      <c r="C1093" s="4373"/>
      <c r="D1093" s="3548" t="s">
        <v>10672</v>
      </c>
      <c r="E1093" s="4374"/>
      <c r="F1093" s="4375"/>
      <c r="G1093" s="4376"/>
      <c r="H1093" s="4370"/>
      <c r="I1093" s="3849"/>
      <c r="J1093" s="3726"/>
      <c r="K1093" s="4855"/>
      <c r="L1093" s="4855"/>
    </row>
    <row r="1094" spans="1:109" s="1061" customFormat="1" ht="13.5" customHeight="1">
      <c r="A1094" s="3525">
        <v>120</v>
      </c>
      <c r="B1094" s="3123" t="s">
        <v>7934</v>
      </c>
      <c r="C1094" s="3536">
        <v>998751202</v>
      </c>
      <c r="D1094" s="3536" t="s">
        <v>7935</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7936</v>
      </c>
      <c r="D1095" s="3526" t="s">
        <v>7937</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7938</v>
      </c>
      <c r="E1096" s="3526"/>
      <c r="F1096" s="3544">
        <v>20</v>
      </c>
      <c r="G1096" s="3528"/>
      <c r="H1096" s="3905"/>
      <c r="I1096" s="3926"/>
      <c r="J1096" s="4507"/>
      <c r="M1096" s="5014"/>
    </row>
    <row r="1097" spans="1:109" s="1102" customFormat="1" ht="27" customHeight="1">
      <c r="A1097" s="3112"/>
      <c r="B1097" s="3526"/>
      <c r="C1097" s="3526"/>
      <c r="D1097" s="3543" t="s">
        <v>7939</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9909</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10084</v>
      </c>
      <c r="D1099" s="3536" t="s">
        <v>9910</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9911</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9912</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9913</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9914</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9915</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9916</v>
      </c>
      <c r="E1105" s="3536"/>
      <c r="F1105" s="3681"/>
      <c r="G1105" s="3680"/>
      <c r="H1105" s="3903"/>
      <c r="I1105" s="3924"/>
      <c r="J1105" s="4512"/>
      <c r="M1105" s="5014"/>
    </row>
    <row r="1106" spans="1:17" s="1061" customFormat="1" ht="13.5" customHeight="1">
      <c r="A1106" s="3637">
        <v>123</v>
      </c>
      <c r="B1106" s="3536">
        <v>751</v>
      </c>
      <c r="C1106" s="3536" t="s">
        <v>10322</v>
      </c>
      <c r="D1106" s="3536" t="s">
        <v>9917</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9911</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9918</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9919</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9920</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9921</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9916</v>
      </c>
      <c r="E1112" s="3536"/>
      <c r="F1112" s="3681"/>
      <c r="G1112" s="3680"/>
      <c r="H1112" s="3903"/>
      <c r="I1112" s="3924"/>
      <c r="J1112" s="4512"/>
      <c r="K1112" s="5069"/>
      <c r="M1112" s="5014"/>
    </row>
    <row r="1113" spans="1:17" s="1061" customFormat="1" ht="13.5" customHeight="1">
      <c r="A1113" s="3637">
        <v>124</v>
      </c>
      <c r="B1113" s="3536">
        <v>751</v>
      </c>
      <c r="C1113" s="3536" t="s">
        <v>10323</v>
      </c>
      <c r="D1113" s="3536" t="s">
        <v>9922</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9911</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9923</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9924</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9925</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9926</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9916</v>
      </c>
      <c r="E1119" s="3536"/>
      <c r="F1119" s="3681"/>
      <c r="G1119" s="3680"/>
      <c r="H1119" s="3903"/>
      <c r="I1119" s="3924"/>
      <c r="J1119" s="4512"/>
      <c r="K1119" s="5082"/>
      <c r="M1119" s="5014"/>
    </row>
    <row r="1120" spans="1:17" s="1061" customFormat="1" ht="13.5" customHeight="1">
      <c r="A1120" s="3637">
        <v>125</v>
      </c>
      <c r="B1120" s="3536">
        <v>751</v>
      </c>
      <c r="C1120" s="3536" t="s">
        <v>10324</v>
      </c>
      <c r="D1120" s="3536" t="s">
        <v>9927</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9911</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9928</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9916</v>
      </c>
      <c r="E1123" s="3536"/>
      <c r="F1123" s="3681"/>
      <c r="G1123" s="3680"/>
      <c r="H1123" s="3903"/>
      <c r="I1123" s="3924"/>
      <c r="J1123" s="4512"/>
      <c r="K1123" s="1392"/>
      <c r="M1123" s="5014"/>
    </row>
    <row r="1124" spans="1:68" ht="13.5" customHeight="1">
      <c r="A1124" s="3637">
        <v>126</v>
      </c>
      <c r="B1124" s="3536">
        <v>751</v>
      </c>
      <c r="C1124" s="3536" t="s">
        <v>10325</v>
      </c>
      <c r="D1124" s="3536" t="s">
        <v>9929</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9930</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9931</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9932</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10326</v>
      </c>
      <c r="D1128" s="3536" t="s">
        <v>9933</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9934</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9935</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9936</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9937</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9937</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9938</v>
      </c>
      <c r="E1134" s="3536"/>
      <c r="F1134" s="3681"/>
      <c r="G1134" s="3680"/>
      <c r="H1134" s="3903"/>
      <c r="I1134" s="3924"/>
      <c r="J1134" s="4512"/>
      <c r="K1134" s="5069"/>
      <c r="M1134" s="5014"/>
    </row>
    <row r="1135" spans="1:68" s="1061" customFormat="1" ht="27" customHeight="1">
      <c r="A1135" s="3637">
        <v>128</v>
      </c>
      <c r="B1135" s="3536">
        <v>751</v>
      </c>
      <c r="C1135" s="3536" t="s">
        <v>10327</v>
      </c>
      <c r="D1135" s="3536" t="s">
        <v>9939</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9940</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9941</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9942</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9943</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9944</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9938</v>
      </c>
      <c r="E1141" s="3536"/>
      <c r="F1141" s="3681"/>
      <c r="G1141" s="3680"/>
      <c r="H1141" s="3903"/>
      <c r="I1141" s="3924"/>
      <c r="J1141" s="4512"/>
      <c r="K1141" s="5069"/>
      <c r="M1141" s="5014"/>
    </row>
    <row r="1142" spans="1:17" s="1061" customFormat="1" ht="27" customHeight="1">
      <c r="A1142" s="3637">
        <v>129</v>
      </c>
      <c r="B1142" s="3536">
        <v>751</v>
      </c>
      <c r="C1142" s="3536" t="s">
        <v>10328</v>
      </c>
      <c r="D1142" s="3536" t="s">
        <v>9945</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9946</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9947</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9920</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9944</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9948</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9938</v>
      </c>
      <c r="E1148" s="3536"/>
      <c r="F1148" s="3681"/>
      <c r="G1148" s="3680"/>
      <c r="H1148" s="3903"/>
      <c r="I1148" s="3924"/>
      <c r="J1148" s="4512"/>
      <c r="K1148" s="5069"/>
      <c r="M1148" s="5014"/>
    </row>
    <row r="1149" spans="1:17" s="1061" customFormat="1" ht="27" customHeight="1">
      <c r="A1149" s="3637">
        <v>130</v>
      </c>
      <c r="B1149" s="3536">
        <v>751</v>
      </c>
      <c r="C1149" s="3536" t="s">
        <v>10329</v>
      </c>
      <c r="D1149" s="3536" t="s">
        <v>9949</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9950</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9951</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9938</v>
      </c>
      <c r="E1152" s="3536"/>
      <c r="F1152" s="3681"/>
      <c r="G1152" s="3680"/>
      <c r="H1152" s="3903"/>
      <c r="I1152" s="3924"/>
      <c r="J1152" s="4512"/>
      <c r="K1152" s="1392"/>
      <c r="M1152" s="5014"/>
    </row>
    <row r="1153" spans="1:18" ht="13.5" customHeight="1">
      <c r="A1153" s="3637">
        <v>131</v>
      </c>
      <c r="B1153" s="3536">
        <v>751</v>
      </c>
      <c r="C1153" s="3536" t="s">
        <v>8150</v>
      </c>
      <c r="D1153" s="3536" t="s">
        <v>9952</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8152</v>
      </c>
      <c r="E1154" s="3521"/>
      <c r="F1154" s="3522"/>
      <c r="G1154" s="3523"/>
      <c r="H1154" s="3903"/>
      <c r="I1154" s="3924"/>
      <c r="J1154" s="3529"/>
      <c r="K1154" s="5032"/>
      <c r="L1154" s="5063"/>
      <c r="M1154" s="4854"/>
      <c r="N1154" s="5093"/>
      <c r="Q1154" s="5094"/>
    </row>
    <row r="1155" spans="1:18" ht="13.5" customHeight="1">
      <c r="A1155" s="3520"/>
      <c r="B1155" s="3636"/>
      <c r="C1155" s="3521"/>
      <c r="D1155" s="3343" t="s">
        <v>9953</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8153</v>
      </c>
      <c r="E1156" s="3536"/>
      <c r="F1156" s="3530"/>
      <c r="G1156" s="3523"/>
      <c r="H1156" s="3905"/>
      <c r="I1156" s="3926"/>
      <c r="J1156" s="3529"/>
      <c r="K1156" s="5096"/>
      <c r="M1156" s="1070"/>
    </row>
    <row r="1157" spans="1:18" ht="13.5" customHeight="1">
      <c r="A1157" s="3637">
        <v>132</v>
      </c>
      <c r="B1157" s="3536">
        <v>751</v>
      </c>
      <c r="C1157" s="3536" t="s">
        <v>8154</v>
      </c>
      <c r="D1157" s="3536" t="s">
        <v>9954</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8152</v>
      </c>
      <c r="E1158" s="3521"/>
      <c r="F1158" s="3522"/>
      <c r="G1158" s="3523"/>
      <c r="H1158" s="3903"/>
      <c r="I1158" s="3924"/>
      <c r="J1158" s="3529"/>
      <c r="K1158" s="5032"/>
      <c r="L1158" s="5063"/>
      <c r="M1158" s="4854"/>
      <c r="N1158" s="5093"/>
      <c r="Q1158" s="5094"/>
    </row>
    <row r="1159" spans="1:18" ht="13.5" customHeight="1">
      <c r="A1159" s="3520"/>
      <c r="B1159" s="3636"/>
      <c r="C1159" s="3521"/>
      <c r="D1159" s="3343" t="s">
        <v>9955</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9924</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9956</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8153</v>
      </c>
      <c r="E1162" s="3536"/>
      <c r="F1162" s="3530"/>
      <c r="G1162" s="3523"/>
      <c r="H1162" s="3905"/>
      <c r="I1162" s="3926"/>
      <c r="J1162" s="3529"/>
      <c r="M1162" s="1070"/>
    </row>
    <row r="1163" spans="1:18" ht="13.5" customHeight="1">
      <c r="A1163" s="3637">
        <v>133</v>
      </c>
      <c r="B1163" s="3536">
        <v>751</v>
      </c>
      <c r="C1163" s="3536" t="s">
        <v>10330</v>
      </c>
      <c r="D1163" s="3536" t="s">
        <v>9957</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8152</v>
      </c>
      <c r="E1164" s="3521"/>
      <c r="F1164" s="3522"/>
      <c r="G1164" s="3523"/>
      <c r="H1164" s="3903"/>
      <c r="I1164" s="3924"/>
      <c r="J1164" s="3529"/>
      <c r="K1164" s="5032"/>
      <c r="L1164" s="5063"/>
      <c r="M1164" s="4854"/>
      <c r="N1164" s="5093"/>
      <c r="Q1164" s="5094"/>
    </row>
    <row r="1165" spans="1:18" ht="13.5" customHeight="1">
      <c r="A1165" s="3520"/>
      <c r="B1165" s="3636"/>
      <c r="C1165" s="3521"/>
      <c r="D1165" s="3343" t="s">
        <v>9958</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8153</v>
      </c>
      <c r="E1166" s="3536"/>
      <c r="F1166" s="3530"/>
      <c r="G1166" s="3523"/>
      <c r="H1166" s="3905"/>
      <c r="I1166" s="3926"/>
      <c r="J1166" s="3529"/>
      <c r="K1166" s="5099"/>
      <c r="M1166" s="1070"/>
    </row>
    <row r="1167" spans="1:18" ht="13.5" customHeight="1">
      <c r="A1167" s="3637">
        <v>134</v>
      </c>
      <c r="B1167" s="3536">
        <v>751</v>
      </c>
      <c r="C1167" s="3536" t="s">
        <v>10331</v>
      </c>
      <c r="D1167" s="3536" t="s">
        <v>9959</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8152</v>
      </c>
      <c r="E1168" s="3521"/>
      <c r="F1168" s="3522"/>
      <c r="G1168" s="3523"/>
      <c r="H1168" s="3903"/>
      <c r="I1168" s="3924"/>
      <c r="J1168" s="3529"/>
      <c r="K1168" s="5032"/>
      <c r="L1168" s="5063"/>
      <c r="M1168" s="4854"/>
      <c r="N1168" s="5093"/>
      <c r="Q1168" s="5094"/>
    </row>
    <row r="1169" spans="1:18" ht="13.5" customHeight="1">
      <c r="A1169" s="3520"/>
      <c r="B1169" s="3636"/>
      <c r="C1169" s="3521"/>
      <c r="D1169" s="3343" t="s">
        <v>9960</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8153</v>
      </c>
      <c r="E1170" s="3536"/>
      <c r="F1170" s="3530"/>
      <c r="G1170" s="3523"/>
      <c r="H1170" s="3905"/>
      <c r="I1170" s="3926"/>
      <c r="J1170" s="3529"/>
      <c r="K1170" s="5101"/>
      <c r="M1170" s="1070"/>
    </row>
    <row r="1171" spans="1:18" ht="13.5" customHeight="1">
      <c r="A1171" s="3637">
        <v>135</v>
      </c>
      <c r="B1171" s="3536">
        <v>751</v>
      </c>
      <c r="C1171" s="3536" t="s">
        <v>10332</v>
      </c>
      <c r="D1171" s="3536" t="s">
        <v>9961</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8152</v>
      </c>
      <c r="E1172" s="3521"/>
      <c r="F1172" s="3522"/>
      <c r="G1172" s="3523"/>
      <c r="H1172" s="3903"/>
      <c r="I1172" s="3924"/>
      <c r="J1172" s="3529"/>
      <c r="K1172" s="5032"/>
      <c r="L1172" s="5063"/>
      <c r="M1172" s="4854"/>
      <c r="N1172" s="5093"/>
      <c r="Q1172" s="5094"/>
    </row>
    <row r="1173" spans="1:18" ht="13.5" customHeight="1">
      <c r="A1173" s="3520"/>
      <c r="B1173" s="3636"/>
      <c r="C1173" s="3521"/>
      <c r="D1173" s="3343" t="s">
        <v>9962</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8153</v>
      </c>
      <c r="E1174" s="3536"/>
      <c r="F1174" s="3530"/>
      <c r="G1174" s="3523"/>
      <c r="H1174" s="3905"/>
      <c r="I1174" s="3926"/>
      <c r="J1174" s="3529"/>
      <c r="K1174" s="5102"/>
      <c r="M1174" s="1070"/>
    </row>
    <row r="1175" spans="1:18" ht="13.5" customHeight="1">
      <c r="A1175" s="3637">
        <v>136</v>
      </c>
      <c r="B1175" s="3536">
        <v>751</v>
      </c>
      <c r="C1175" s="3536" t="s">
        <v>10333</v>
      </c>
      <c r="D1175" s="3536" t="s">
        <v>9963</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8152</v>
      </c>
      <c r="E1176" s="3521"/>
      <c r="F1176" s="3522"/>
      <c r="G1176" s="3523"/>
      <c r="H1176" s="3903"/>
      <c r="I1176" s="3924"/>
      <c r="J1176" s="3529"/>
      <c r="K1176" s="5032"/>
      <c r="L1176" s="5063"/>
      <c r="M1176" s="4854"/>
      <c r="N1176" s="5093"/>
      <c r="Q1176" s="5094"/>
    </row>
    <row r="1177" spans="1:18" ht="13.5" customHeight="1">
      <c r="A1177" s="3520"/>
      <c r="B1177" s="3636"/>
      <c r="C1177" s="3521"/>
      <c r="D1177" s="3343" t="s">
        <v>9958</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8153</v>
      </c>
      <c r="E1178" s="3536"/>
      <c r="F1178" s="3530"/>
      <c r="G1178" s="3523"/>
      <c r="H1178" s="3905"/>
      <c r="I1178" s="3926"/>
      <c r="J1178" s="3529"/>
      <c r="K1178" s="5102"/>
      <c r="M1178" s="1070"/>
    </row>
    <row r="1179" spans="1:18" ht="13.5" customHeight="1">
      <c r="A1179" s="3637">
        <v>137</v>
      </c>
      <c r="B1179" s="3536">
        <v>751</v>
      </c>
      <c r="C1179" s="3536" t="s">
        <v>10334</v>
      </c>
      <c r="D1179" s="3536" t="s">
        <v>9964</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8152</v>
      </c>
      <c r="E1180" s="3521"/>
      <c r="F1180" s="3522"/>
      <c r="G1180" s="3523"/>
      <c r="H1180" s="3903"/>
      <c r="I1180" s="3924"/>
      <c r="J1180" s="3529"/>
      <c r="K1180" s="5032"/>
      <c r="L1180" s="5063"/>
      <c r="M1180" s="4854"/>
      <c r="N1180" s="5093"/>
      <c r="Q1180" s="5094"/>
    </row>
    <row r="1181" spans="1:18" ht="13.5" customHeight="1">
      <c r="A1181" s="3520"/>
      <c r="B1181" s="3636"/>
      <c r="C1181" s="3521"/>
      <c r="D1181" s="3343" t="s">
        <v>9914</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9915</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8153</v>
      </c>
      <c r="E1183" s="3536"/>
      <c r="F1183" s="3530"/>
      <c r="G1183" s="3523"/>
      <c r="H1183" s="3905"/>
      <c r="I1183" s="3926"/>
      <c r="J1183" s="3529"/>
      <c r="M1183" s="1070"/>
    </row>
    <row r="1184" spans="1:18" ht="13.5" customHeight="1">
      <c r="A1184" s="3637">
        <v>138</v>
      </c>
      <c r="B1184" s="3536">
        <v>751</v>
      </c>
      <c r="C1184" s="3536" t="s">
        <v>10335</v>
      </c>
      <c r="D1184" s="3536" t="s">
        <v>9965</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8152</v>
      </c>
      <c r="E1185" s="3521"/>
      <c r="F1185" s="3522"/>
      <c r="G1185" s="3523"/>
      <c r="H1185" s="3903"/>
      <c r="I1185" s="3924"/>
      <c r="J1185" s="3529"/>
      <c r="K1185" s="5032"/>
      <c r="L1185" s="5100"/>
      <c r="M1185" s="4854"/>
      <c r="N1185" s="5100"/>
      <c r="Q1185" s="5094"/>
    </row>
    <row r="1186" spans="1:18" ht="13.5" customHeight="1">
      <c r="A1186" s="3520"/>
      <c r="B1186" s="3636"/>
      <c r="C1186" s="3521"/>
      <c r="D1186" s="3343" t="s">
        <v>9924</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8153</v>
      </c>
      <c r="E1187" s="3536"/>
      <c r="F1187" s="3530"/>
      <c r="G1187" s="3523"/>
      <c r="H1187" s="3905"/>
      <c r="I1187" s="3926"/>
      <c r="J1187" s="3529"/>
      <c r="K1187" s="5102"/>
      <c r="M1187" s="1070"/>
    </row>
    <row r="1188" spans="1:18" ht="13.5" customHeight="1">
      <c r="A1188" s="3637">
        <v>139</v>
      </c>
      <c r="B1188" s="3536">
        <v>751</v>
      </c>
      <c r="C1188" s="3536" t="s">
        <v>10336</v>
      </c>
      <c r="D1188" s="3536" t="s">
        <v>9966</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8152</v>
      </c>
      <c r="E1189" s="3521"/>
      <c r="F1189" s="3522"/>
      <c r="G1189" s="3523"/>
      <c r="H1189" s="3903"/>
      <c r="I1189" s="3924"/>
      <c r="J1189" s="3529"/>
      <c r="K1189" s="5032"/>
      <c r="L1189" s="5100"/>
      <c r="M1189" s="4854"/>
      <c r="N1189" s="5100"/>
      <c r="Q1189" s="5094"/>
    </row>
    <row r="1190" spans="1:18" ht="13.5" customHeight="1">
      <c r="A1190" s="3520"/>
      <c r="B1190" s="3636"/>
      <c r="C1190" s="3521"/>
      <c r="D1190" s="3343" t="s">
        <v>9967</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9924</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8153</v>
      </c>
      <c r="E1192" s="3536"/>
      <c r="F1192" s="3530"/>
      <c r="G1192" s="3523"/>
      <c r="H1192" s="3905"/>
      <c r="I1192" s="3926"/>
      <c r="J1192" s="3529"/>
      <c r="M1192" s="1070"/>
    </row>
    <row r="1193" spans="1:18" ht="13.5" customHeight="1">
      <c r="A1193" s="3637">
        <v>140</v>
      </c>
      <c r="B1193" s="3536">
        <v>751</v>
      </c>
      <c r="C1193" s="3536" t="s">
        <v>10337</v>
      </c>
      <c r="D1193" s="3536" t="s">
        <v>9968</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8152</v>
      </c>
      <c r="E1194" s="3521"/>
      <c r="F1194" s="3522"/>
      <c r="G1194" s="3523"/>
      <c r="H1194" s="3903"/>
      <c r="I1194" s="3924"/>
      <c r="J1194" s="3529"/>
      <c r="K1194" s="5032"/>
      <c r="L1194" s="5100"/>
      <c r="M1194" s="4854"/>
      <c r="N1194" s="5100"/>
      <c r="Q1194" s="5094"/>
    </row>
    <row r="1195" spans="1:18" ht="13.5" customHeight="1">
      <c r="A1195" s="3520"/>
      <c r="B1195" s="3636"/>
      <c r="C1195" s="3521"/>
      <c r="D1195" s="3343" t="s">
        <v>9969</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9956</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9962</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8153</v>
      </c>
      <c r="E1198" s="3536"/>
      <c r="F1198" s="3530"/>
      <c r="G1198" s="3523"/>
      <c r="H1198" s="3905"/>
      <c r="I1198" s="3926"/>
      <c r="J1198" s="3529"/>
      <c r="M1198" s="1070"/>
    </row>
    <row r="1199" spans="1:18" ht="13.5" customHeight="1">
      <c r="A1199" s="3637">
        <v>141</v>
      </c>
      <c r="B1199" s="3536">
        <v>751</v>
      </c>
      <c r="C1199" s="3536" t="s">
        <v>10338</v>
      </c>
      <c r="D1199" s="3536" t="s">
        <v>9970</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8152</v>
      </c>
      <c r="E1200" s="3521"/>
      <c r="F1200" s="3522"/>
      <c r="G1200" s="3523"/>
      <c r="H1200" s="3903"/>
      <c r="I1200" s="3924"/>
      <c r="J1200" s="3529"/>
      <c r="K1200" s="5032"/>
      <c r="L1200" s="5100"/>
      <c r="M1200" s="4854"/>
      <c r="N1200" s="5100"/>
      <c r="Q1200" s="5094"/>
    </row>
    <row r="1201" spans="1:20" ht="13.5" customHeight="1">
      <c r="A1201" s="3520"/>
      <c r="B1201" s="3636"/>
      <c r="C1201" s="3521"/>
      <c r="D1201" s="3343" t="s">
        <v>9955</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8153</v>
      </c>
      <c r="E1202" s="3536"/>
      <c r="F1202" s="3530"/>
      <c r="G1202" s="3523"/>
      <c r="H1202" s="3905"/>
      <c r="I1202" s="3926"/>
      <c r="J1202" s="3529"/>
      <c r="K1202" s="5102"/>
      <c r="M1202" s="1070"/>
    </row>
    <row r="1203" spans="1:20" ht="13.5" customHeight="1">
      <c r="A1203" s="3637">
        <v>142</v>
      </c>
      <c r="B1203" s="3536">
        <v>751</v>
      </c>
      <c r="C1203" s="3536" t="s">
        <v>10339</v>
      </c>
      <c r="D1203" s="3536" t="s">
        <v>9971</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9972</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9973</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9974</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10340</v>
      </c>
      <c r="D1207" s="3536" t="s">
        <v>9975</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9976</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9977</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9974</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10341</v>
      </c>
      <c r="D1211" s="3536" t="s">
        <v>9978</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9979</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9958</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9974</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10342</v>
      </c>
      <c r="D1215" s="3536" t="s">
        <v>9980</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9981</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9955</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9974</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10343</v>
      </c>
      <c r="D1219" s="3536" t="s">
        <v>9982</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9983</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9967</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9974</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9998</v>
      </c>
      <c r="D1223" s="3536" t="s">
        <v>9984</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9985</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9924</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9932</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10344</v>
      </c>
      <c r="D1227" s="3536" t="s">
        <v>9986</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9987</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9969</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9932</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10345</v>
      </c>
      <c r="D1231" s="3536" t="s">
        <v>9988</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9989</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9924</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9932</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10055</v>
      </c>
      <c r="D1235" s="3536" t="s">
        <v>9990</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9991</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9924</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9932</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10346</v>
      </c>
      <c r="D1239" s="3536" t="s">
        <v>9992</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9993</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9924</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9932</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10347</v>
      </c>
      <c r="D1243" s="3536" t="s">
        <v>9994</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9995</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9969</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9932</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10348</v>
      </c>
      <c r="D1247" s="3536" t="s">
        <v>9996</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9997</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9924</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9932</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10349</v>
      </c>
      <c r="D1251" s="3536" t="s">
        <v>9999</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10000</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9958</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10001</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9956</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9932</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10350</v>
      </c>
      <c r="D1257" s="3536" t="s">
        <v>10002</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10003</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9953</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10004</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10005</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9932</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10351</v>
      </c>
      <c r="D1263" s="3536" t="s">
        <v>10006</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10007</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9953</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10008</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10009</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9932</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10352</v>
      </c>
      <c r="D1269" s="3536" t="s">
        <v>10010</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10011</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10012</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10013</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10005</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9932</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10353</v>
      </c>
      <c r="D1275" s="3536" t="s">
        <v>10014</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10015</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9955</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10001</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9932</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10354</v>
      </c>
      <c r="D1280" s="3536" t="s">
        <v>10016</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10017</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9969</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9932</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10355</v>
      </c>
      <c r="D1284" s="3536" t="s">
        <v>10018</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10019</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9955</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9932</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10356</v>
      </c>
      <c r="D1288" s="3536" t="s">
        <v>10020</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10019</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9920</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9932</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10357</v>
      </c>
      <c r="D1292" s="3569" t="s">
        <v>10021</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10022</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9973</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10023</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10358</v>
      </c>
      <c r="D1296" s="3569" t="s">
        <v>10024</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10025</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9951</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9914</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9915</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10023</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10359</v>
      </c>
      <c r="D1302" s="3569" t="s">
        <v>10026</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10027</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9955</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9969</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9914</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9915</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10023</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10360</v>
      </c>
      <c r="D1309" s="3569" t="s">
        <v>10028</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10029</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9951</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9914</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9914</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10023</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10361</v>
      </c>
      <c r="D1315" s="3569" t="s">
        <v>10030</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10031</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9956</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9962</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10023</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10362</v>
      </c>
      <c r="D1320" s="3569" t="s">
        <v>10032</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10033</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9956</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9962</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10023</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10363</v>
      </c>
      <c r="D1325" s="3569" t="s">
        <v>10034</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10035</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9956</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10023</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10364</v>
      </c>
      <c r="D1329" s="3569" t="s">
        <v>10036</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10037</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9956</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9962</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10023</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10365</v>
      </c>
      <c r="D1334" s="3569" t="s">
        <v>10038</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10039</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9924</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9920</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9948</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10023</v>
      </c>
      <c r="E1339" s="3558"/>
      <c r="F1339" s="3530"/>
      <c r="G1339" s="3559"/>
      <c r="H1339" s="3905"/>
      <c r="I1339" s="3926"/>
      <c r="J1339" s="4513"/>
      <c r="K1339" s="1341"/>
      <c r="L1339" s="3662"/>
      <c r="M1339" s="52"/>
      <c r="T1339" s="5087"/>
    </row>
    <row r="1340" spans="1:68" ht="27" customHeight="1">
      <c r="A1340" s="3637">
        <v>171</v>
      </c>
      <c r="B1340" s="3536">
        <v>751</v>
      </c>
      <c r="C1340" s="3536" t="s">
        <v>10366</v>
      </c>
      <c r="D1340" s="3569" t="s">
        <v>10040</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10041</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9962</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10023</v>
      </c>
      <c r="E1343" s="3558"/>
      <c r="F1343" s="3530"/>
      <c r="G1343" s="3559"/>
      <c r="H1343" s="3905"/>
      <c r="I1343" s="3926"/>
      <c r="J1343" s="4513"/>
      <c r="K1343" s="5089"/>
      <c r="L1343" s="1341"/>
      <c r="M1343" s="3662"/>
      <c r="T1343" s="5087"/>
    </row>
    <row r="1344" spans="1:68" ht="27" customHeight="1">
      <c r="A1344" s="3637">
        <v>172</v>
      </c>
      <c r="B1344" s="3536">
        <v>751</v>
      </c>
      <c r="C1344" s="3536" t="s">
        <v>10367</v>
      </c>
      <c r="D1344" s="3569" t="s">
        <v>10042</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10043</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10044</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10023</v>
      </c>
      <c r="E1347" s="3558"/>
      <c r="F1347" s="3530"/>
      <c r="G1347" s="3559"/>
      <c r="H1347" s="3905"/>
      <c r="I1347" s="3926"/>
      <c r="J1347" s="4513"/>
      <c r="K1347" s="5089"/>
      <c r="L1347" s="3662"/>
      <c r="M1347" s="52"/>
      <c r="T1347" s="5087"/>
    </row>
    <row r="1348" spans="1:68" ht="27" customHeight="1">
      <c r="A1348" s="3637">
        <v>173</v>
      </c>
      <c r="B1348" s="3536">
        <v>751</v>
      </c>
      <c r="C1348" s="3536" t="s">
        <v>10368</v>
      </c>
      <c r="D1348" s="3569" t="s">
        <v>10045</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10046</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9969</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9956</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9962</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10023</v>
      </c>
      <c r="E1353" s="3558"/>
      <c r="F1353" s="3530"/>
      <c r="G1353" s="3559"/>
      <c r="H1353" s="3905"/>
      <c r="I1353" s="3926"/>
      <c r="J1353" s="3343"/>
      <c r="K1353" s="1341"/>
      <c r="L1353" s="3662"/>
      <c r="M1353" s="52"/>
    </row>
    <row r="1354" spans="1:68" ht="27" customHeight="1">
      <c r="A1354" s="3637">
        <v>174</v>
      </c>
      <c r="B1354" s="3536">
        <v>751</v>
      </c>
      <c r="C1354" s="3536" t="s">
        <v>10369</v>
      </c>
      <c r="D1354" s="3569" t="s">
        <v>10047</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10048</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9924</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10023</v>
      </c>
      <c r="E1357" s="3558"/>
      <c r="F1357" s="3530"/>
      <c r="G1357" s="3559"/>
      <c r="H1357" s="3905"/>
      <c r="I1357" s="3926"/>
      <c r="J1357" s="4513"/>
      <c r="K1357" s="5089"/>
      <c r="L1357" s="3662"/>
      <c r="M1357" s="52"/>
    </row>
    <row r="1358" spans="1:68" ht="27" customHeight="1">
      <c r="A1358" s="3637">
        <v>175</v>
      </c>
      <c r="B1358" s="3536">
        <v>751</v>
      </c>
      <c r="C1358" s="3536" t="s">
        <v>10370</v>
      </c>
      <c r="D1358" s="3569" t="s">
        <v>10049</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10050</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9956</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9962</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10023</v>
      </c>
      <c r="E1362" s="3558"/>
      <c r="F1362" s="3530"/>
      <c r="G1362" s="3559"/>
      <c r="H1362" s="3905"/>
      <c r="I1362" s="3926"/>
      <c r="J1362" s="4513"/>
      <c r="K1362" s="1341"/>
      <c r="L1362" s="3662"/>
      <c r="M1362" s="52"/>
    </row>
    <row r="1363" spans="1:68" ht="27" customHeight="1">
      <c r="A1363" s="3637">
        <v>176</v>
      </c>
      <c r="B1363" s="3536">
        <v>751</v>
      </c>
      <c r="C1363" s="3536" t="s">
        <v>10371</v>
      </c>
      <c r="D1363" s="3569" t="s">
        <v>10051</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10052</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9956</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9962</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10023</v>
      </c>
      <c r="E1367" s="3558"/>
      <c r="F1367" s="3530"/>
      <c r="G1367" s="3559"/>
      <c r="H1367" s="3905"/>
      <c r="I1367" s="3926"/>
      <c r="J1367" s="4513"/>
      <c r="K1367" s="1341"/>
      <c r="L1367" s="3662"/>
      <c r="M1367" s="52"/>
    </row>
    <row r="1368" spans="1:68" ht="27" customHeight="1">
      <c r="A1368" s="3637">
        <v>177</v>
      </c>
      <c r="B1368" s="3536">
        <v>751</v>
      </c>
      <c r="C1368" s="3536" t="s">
        <v>10372</v>
      </c>
      <c r="D1368" s="3569" t="s">
        <v>10053</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10054</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9924</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10023</v>
      </c>
      <c r="E1371" s="3558"/>
      <c r="F1371" s="3530"/>
      <c r="G1371" s="3559"/>
      <c r="H1371" s="3905"/>
      <c r="I1371" s="3926"/>
      <c r="J1371" s="4513"/>
      <c r="K1371" s="5089"/>
      <c r="L1371" s="3662"/>
      <c r="M1371" s="52"/>
    </row>
    <row r="1372" spans="1:68" ht="13.5" customHeight="1">
      <c r="A1372" s="3637">
        <v>178</v>
      </c>
      <c r="B1372" s="3536">
        <v>751</v>
      </c>
      <c r="C1372" s="3536" t="s">
        <v>10373</v>
      </c>
      <c r="D1372" s="3569" t="s">
        <v>10056</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10057</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9967</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9932</v>
      </c>
      <c r="E1375" s="3536"/>
      <c r="F1375" s="3530"/>
      <c r="G1375" s="3542"/>
      <c r="H1375" s="3916"/>
      <c r="I1375" s="3937"/>
      <c r="J1375" s="3529"/>
      <c r="K1375" s="5089"/>
      <c r="L1375" s="3662"/>
      <c r="P1375" s="5108"/>
    </row>
    <row r="1376" spans="1:68" s="1061" customFormat="1" ht="27" customHeight="1">
      <c r="A1376" s="3637">
        <v>179</v>
      </c>
      <c r="B1376" s="3536">
        <v>751</v>
      </c>
      <c r="C1376" s="3536" t="s">
        <v>10058</v>
      </c>
      <c r="D1376" s="3536" t="s">
        <v>10059</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10060</v>
      </c>
      <c r="E1377" s="3536"/>
      <c r="F1377" s="3541"/>
      <c r="G1377" s="3528"/>
      <c r="H1377" s="3905"/>
      <c r="I1377" s="3926"/>
      <c r="J1377" s="3529"/>
      <c r="K1377" s="5114"/>
      <c r="L1377" s="5116"/>
      <c r="M1377" s="5117"/>
    </row>
    <row r="1378" spans="1:19" s="1061" customFormat="1" ht="13.5" customHeight="1">
      <c r="A1378" s="3525"/>
      <c r="B1378" s="3536"/>
      <c r="C1378" s="3536"/>
      <c r="D1378" s="3343" t="s">
        <v>9924</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10061</v>
      </c>
      <c r="E1379" s="3536"/>
      <c r="F1379" s="3530"/>
      <c r="G1379" s="3680"/>
      <c r="H1379" s="3903"/>
      <c r="I1379" s="3924"/>
      <c r="J1379" s="4515"/>
      <c r="K1379" s="1392"/>
      <c r="M1379" s="5014"/>
      <c r="P1379" s="5108"/>
    </row>
    <row r="1380" spans="1:19" s="1061" customFormat="1" ht="27" customHeight="1">
      <c r="A1380" s="3637">
        <v>180</v>
      </c>
      <c r="B1380" s="3536">
        <v>751</v>
      </c>
      <c r="C1380" s="3536" t="s">
        <v>10066</v>
      </c>
      <c r="D1380" s="3536" t="s">
        <v>10062</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10060</v>
      </c>
      <c r="E1381" s="3536"/>
      <c r="F1381" s="3541"/>
      <c r="G1381" s="3528"/>
      <c r="H1381" s="3905"/>
      <c r="I1381" s="3926"/>
      <c r="J1381" s="3529"/>
      <c r="K1381" s="5114"/>
      <c r="L1381" s="5116"/>
      <c r="M1381" s="5117"/>
    </row>
    <row r="1382" spans="1:19" s="1061" customFormat="1" ht="13.5" customHeight="1">
      <c r="A1382" s="3525"/>
      <c r="B1382" s="3536"/>
      <c r="C1382" s="3536"/>
      <c r="D1382" s="3343" t="s">
        <v>9956</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9962</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10061</v>
      </c>
      <c r="E1384" s="3536"/>
      <c r="F1384" s="3530"/>
      <c r="G1384" s="3680"/>
      <c r="H1384" s="3903"/>
      <c r="I1384" s="3924"/>
      <c r="J1384" s="4515"/>
      <c r="K1384" s="3568"/>
      <c r="M1384" s="5014"/>
      <c r="P1384" s="5108"/>
    </row>
    <row r="1385" spans="1:19" s="1061" customFormat="1" ht="27" customHeight="1">
      <c r="A1385" s="3637">
        <v>181</v>
      </c>
      <c r="B1385" s="3536">
        <v>751</v>
      </c>
      <c r="C1385" s="3536" t="s">
        <v>10374</v>
      </c>
      <c r="D1385" s="3536" t="s">
        <v>10063</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10060</v>
      </c>
      <c r="E1386" s="3536"/>
      <c r="F1386" s="3541"/>
      <c r="G1386" s="3528"/>
      <c r="H1386" s="3905"/>
      <c r="I1386" s="3926"/>
      <c r="J1386" s="3529"/>
      <c r="K1386" s="5114"/>
      <c r="L1386" s="5116"/>
      <c r="M1386" s="5117"/>
    </row>
    <row r="1387" spans="1:19" s="1061" customFormat="1" ht="13.5" customHeight="1">
      <c r="A1387" s="3525"/>
      <c r="B1387" s="3536"/>
      <c r="C1387" s="3536"/>
      <c r="D1387" s="3343" t="s">
        <v>9955</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10061</v>
      </c>
      <c r="E1388" s="3536"/>
      <c r="F1388" s="3530"/>
      <c r="G1388" s="3680"/>
      <c r="H1388" s="3903"/>
      <c r="I1388" s="3924"/>
      <c r="J1388" s="4515"/>
      <c r="K1388" s="1392"/>
      <c r="M1388" s="5014"/>
      <c r="P1388" s="5108"/>
    </row>
    <row r="1389" spans="1:19" s="1061" customFormat="1" ht="27" customHeight="1">
      <c r="A1389" s="3637">
        <v>182</v>
      </c>
      <c r="B1389" s="3536">
        <v>751</v>
      </c>
      <c r="C1389" s="3536" t="s">
        <v>10375</v>
      </c>
      <c r="D1389" s="3536" t="s">
        <v>10064</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10060</v>
      </c>
      <c r="E1390" s="3536"/>
      <c r="F1390" s="3541"/>
      <c r="G1390" s="3528"/>
      <c r="H1390" s="3905"/>
      <c r="I1390" s="3926"/>
      <c r="J1390" s="3529"/>
      <c r="K1390" s="5114"/>
      <c r="L1390" s="5116"/>
      <c r="M1390" s="5117"/>
    </row>
    <row r="1391" spans="1:19" s="1061" customFormat="1" ht="13.5" customHeight="1">
      <c r="A1391" s="3525"/>
      <c r="B1391" s="3536"/>
      <c r="C1391" s="3536"/>
      <c r="D1391" s="3343" t="s">
        <v>10065</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10061</v>
      </c>
      <c r="E1392" s="3536"/>
      <c r="F1392" s="3530"/>
      <c r="G1392" s="3680"/>
      <c r="H1392" s="3903"/>
      <c r="I1392" s="3924"/>
      <c r="J1392" s="4515"/>
      <c r="K1392" s="1392"/>
      <c r="M1392" s="5014"/>
      <c r="P1392" s="5108"/>
    </row>
    <row r="1393" spans="1:19" s="1061" customFormat="1" ht="27" customHeight="1">
      <c r="A1393" s="3637">
        <v>183</v>
      </c>
      <c r="B1393" s="3536">
        <v>751</v>
      </c>
      <c r="C1393" s="3536" t="s">
        <v>10376</v>
      </c>
      <c r="D1393" s="3536" t="s">
        <v>10067</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10060</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9967</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10061</v>
      </c>
      <c r="E1396" s="3536"/>
      <c r="F1396" s="3530"/>
      <c r="G1396" s="3528"/>
      <c r="H1396" s="3905"/>
      <c r="I1396" s="3926"/>
      <c r="J1396" s="3529"/>
      <c r="K1396" s="1392"/>
      <c r="M1396" s="5014"/>
      <c r="P1396" s="5108"/>
    </row>
    <row r="1397" spans="1:19" s="1061" customFormat="1" ht="27" customHeight="1">
      <c r="A1397" s="3637">
        <v>184</v>
      </c>
      <c r="B1397" s="3536">
        <v>751</v>
      </c>
      <c r="C1397" s="3536" t="s">
        <v>10377</v>
      </c>
      <c r="D1397" s="3536" t="s">
        <v>10068</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10060</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9955</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10061</v>
      </c>
      <c r="E1400" s="3536"/>
      <c r="F1400" s="3530"/>
      <c r="G1400" s="3528"/>
      <c r="H1400" s="3905"/>
      <c r="I1400" s="3926"/>
      <c r="J1400" s="3529"/>
      <c r="K1400" s="1392"/>
      <c r="M1400" s="5014"/>
      <c r="P1400" s="5108"/>
    </row>
    <row r="1401" spans="1:19" s="1061" customFormat="1" ht="27" customHeight="1">
      <c r="A1401" s="3637">
        <v>185</v>
      </c>
      <c r="B1401" s="3536">
        <v>751</v>
      </c>
      <c r="C1401" s="3536" t="s">
        <v>10378</v>
      </c>
      <c r="D1401" s="3536" t="s">
        <v>10069</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10060</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9955</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10061</v>
      </c>
      <c r="E1404" s="3536"/>
      <c r="F1404" s="3530"/>
      <c r="G1404" s="3528"/>
      <c r="H1404" s="3905"/>
      <c r="I1404" s="3926"/>
      <c r="J1404" s="3529"/>
      <c r="K1404" s="1392"/>
      <c r="M1404" s="5014"/>
      <c r="P1404" s="5108"/>
    </row>
    <row r="1405" spans="1:19" s="1061" customFormat="1" ht="27" customHeight="1">
      <c r="A1405" s="3637">
        <v>186</v>
      </c>
      <c r="B1405" s="3536">
        <v>751</v>
      </c>
      <c r="C1405" s="3536" t="s">
        <v>10379</v>
      </c>
      <c r="D1405" s="3536" t="s">
        <v>10070</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10060</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9967</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10061</v>
      </c>
      <c r="E1408" s="3536"/>
      <c r="F1408" s="3530"/>
      <c r="G1408" s="3528"/>
      <c r="H1408" s="3905"/>
      <c r="I1408" s="3926"/>
      <c r="J1408" s="4516"/>
      <c r="K1408" s="1392"/>
      <c r="M1408" s="5014"/>
      <c r="P1408" s="5108"/>
    </row>
    <row r="1409" spans="1:19" s="1061" customFormat="1" ht="27" customHeight="1">
      <c r="A1409" s="3637">
        <v>187</v>
      </c>
      <c r="B1409" s="3536">
        <v>751</v>
      </c>
      <c r="C1409" s="3536" t="s">
        <v>10380</v>
      </c>
      <c r="D1409" s="3536" t="s">
        <v>10071</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10060</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9955</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10061</v>
      </c>
      <c r="E1412" s="3536"/>
      <c r="F1412" s="3530"/>
      <c r="G1412" s="3528"/>
      <c r="H1412" s="3905"/>
      <c r="I1412" s="3926"/>
      <c r="J1412" s="4516"/>
      <c r="K1412" s="1392"/>
      <c r="M1412" s="5014"/>
      <c r="P1412" s="5108"/>
    </row>
    <row r="1413" spans="1:19" s="1061" customFormat="1" ht="27" customHeight="1">
      <c r="A1413" s="3637">
        <v>188</v>
      </c>
      <c r="B1413" s="3536">
        <v>751</v>
      </c>
      <c r="C1413" s="3536" t="s">
        <v>10381</v>
      </c>
      <c r="D1413" s="3536" t="s">
        <v>10072</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10060</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9955</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10061</v>
      </c>
      <c r="E1416" s="3536"/>
      <c r="F1416" s="3530"/>
      <c r="G1416" s="3528"/>
      <c r="H1416" s="3905"/>
      <c r="I1416" s="3926"/>
      <c r="J1416" s="4516"/>
      <c r="K1416" s="1392"/>
      <c r="M1416" s="5014"/>
      <c r="P1416" s="5108"/>
    </row>
    <row r="1417" spans="1:19" s="1061" customFormat="1" ht="27" customHeight="1">
      <c r="A1417" s="3637">
        <v>189</v>
      </c>
      <c r="B1417" s="3536">
        <v>751</v>
      </c>
      <c r="C1417" s="3536" t="s">
        <v>10382</v>
      </c>
      <c r="D1417" s="3536" t="s">
        <v>10073</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10060</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9955</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10061</v>
      </c>
      <c r="E1420" s="3536"/>
      <c r="F1420" s="3530"/>
      <c r="G1420" s="3528"/>
      <c r="H1420" s="3905"/>
      <c r="I1420" s="3926"/>
      <c r="J1420" s="4516"/>
      <c r="K1420" s="1392"/>
      <c r="M1420" s="5014"/>
      <c r="P1420" s="5108"/>
    </row>
    <row r="1421" spans="1:19" s="1061" customFormat="1" ht="27" customHeight="1">
      <c r="A1421" s="3637">
        <v>190</v>
      </c>
      <c r="B1421" s="3536">
        <v>751</v>
      </c>
      <c r="C1421" s="3536" t="s">
        <v>10383</v>
      </c>
      <c r="D1421" s="3536" t="s">
        <v>10074</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10060</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9967</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10061</v>
      </c>
      <c r="E1424" s="3536"/>
      <c r="F1424" s="3530"/>
      <c r="G1424" s="3528"/>
      <c r="H1424" s="3905"/>
      <c r="I1424" s="3926"/>
      <c r="J1424" s="4516"/>
      <c r="K1424" s="1392"/>
      <c r="M1424" s="5014"/>
      <c r="P1424" s="5108"/>
    </row>
    <row r="1425" spans="1:19" s="1061" customFormat="1" ht="27" customHeight="1">
      <c r="A1425" s="3637">
        <v>191</v>
      </c>
      <c r="B1425" s="3536">
        <v>751</v>
      </c>
      <c r="C1425" s="3536" t="s">
        <v>10384</v>
      </c>
      <c r="D1425" s="3536" t="s">
        <v>10075</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10060</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9955</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10061</v>
      </c>
      <c r="E1428" s="3536"/>
      <c r="F1428" s="3530"/>
      <c r="G1428" s="3528"/>
      <c r="H1428" s="3905"/>
      <c r="I1428" s="3926"/>
      <c r="J1428" s="4516"/>
      <c r="K1428" s="1392"/>
      <c r="M1428" s="5014"/>
      <c r="P1428" s="5108"/>
    </row>
    <row r="1429" spans="1:19" s="1061" customFormat="1" ht="27" customHeight="1">
      <c r="A1429" s="3637">
        <v>192</v>
      </c>
      <c r="B1429" s="3536">
        <v>751</v>
      </c>
      <c r="C1429" s="3536" t="s">
        <v>10385</v>
      </c>
      <c r="D1429" s="3536" t="s">
        <v>10076</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10060</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9973</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10061</v>
      </c>
      <c r="E1432" s="3536"/>
      <c r="F1432" s="3530"/>
      <c r="G1432" s="3528"/>
      <c r="H1432" s="3905"/>
      <c r="I1432" s="3926"/>
      <c r="J1432" s="4516"/>
      <c r="K1432" s="1392"/>
      <c r="M1432" s="5014"/>
      <c r="P1432" s="5108"/>
    </row>
    <row r="1433" spans="1:19" s="1061" customFormat="1" ht="27" customHeight="1">
      <c r="A1433" s="3637">
        <v>193</v>
      </c>
      <c r="B1433" s="3536">
        <v>751</v>
      </c>
      <c r="C1433" s="3536" t="s">
        <v>10386</v>
      </c>
      <c r="D1433" s="3536" t="s">
        <v>10077</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10060</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9955</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10061</v>
      </c>
      <c r="E1436" s="3536"/>
      <c r="F1436" s="3530"/>
      <c r="G1436" s="3528"/>
      <c r="H1436" s="3905"/>
      <c r="I1436" s="3926"/>
      <c r="J1436" s="4516"/>
      <c r="K1436" s="1392"/>
      <c r="M1436" s="5014"/>
      <c r="P1436" s="5108"/>
    </row>
    <row r="1437" spans="1:19" s="1061" customFormat="1" ht="27" customHeight="1">
      <c r="A1437" s="3637">
        <v>194</v>
      </c>
      <c r="B1437" s="3536">
        <v>751</v>
      </c>
      <c r="C1437" s="3536" t="s">
        <v>10387</v>
      </c>
      <c r="D1437" s="3536" t="s">
        <v>10078</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10060</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9967</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9969</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10061</v>
      </c>
      <c r="E1441" s="3536"/>
      <c r="F1441" s="3530"/>
      <c r="G1441" s="3528"/>
      <c r="H1441" s="3905"/>
      <c r="I1441" s="3926"/>
      <c r="J1441" s="4516"/>
      <c r="K1441" s="1392"/>
      <c r="M1441" s="5014"/>
      <c r="P1441" s="5108"/>
    </row>
    <row r="1442" spans="1:21" s="1061" customFormat="1" ht="27" customHeight="1">
      <c r="A1442" s="3637">
        <v>195</v>
      </c>
      <c r="B1442" s="3536">
        <v>751</v>
      </c>
      <c r="C1442" s="3536" t="s">
        <v>10388</v>
      </c>
      <c r="D1442" s="3536" t="s">
        <v>10079</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10060</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9955</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10061</v>
      </c>
      <c r="E1445" s="3536"/>
      <c r="F1445" s="3530"/>
      <c r="G1445" s="3528"/>
      <c r="H1445" s="3905"/>
      <c r="I1445" s="3926"/>
      <c r="J1445" s="4516"/>
      <c r="K1445" s="1392"/>
      <c r="M1445" s="5014"/>
      <c r="P1445" s="5108"/>
    </row>
    <row r="1446" spans="1:21" s="1061" customFormat="1" ht="27" customHeight="1">
      <c r="A1446" s="3637">
        <v>196</v>
      </c>
      <c r="B1446" s="3536">
        <v>751</v>
      </c>
      <c r="C1446" s="3536" t="s">
        <v>10389</v>
      </c>
      <c r="D1446" s="3536" t="s">
        <v>10080</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10060</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9955</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10061</v>
      </c>
      <c r="E1449" s="3536"/>
      <c r="F1449" s="3530"/>
      <c r="G1449" s="3528"/>
      <c r="H1449" s="3905"/>
      <c r="I1449" s="3926"/>
      <c r="J1449" s="4516"/>
      <c r="K1449" s="1392"/>
      <c r="M1449" s="5014"/>
      <c r="P1449" s="5108"/>
    </row>
    <row r="1450" spans="1:21" s="1061" customFormat="1" ht="27" customHeight="1">
      <c r="A1450" s="3637">
        <v>197</v>
      </c>
      <c r="B1450" s="3536">
        <v>751</v>
      </c>
      <c r="C1450" s="3536" t="s">
        <v>10390</v>
      </c>
      <c r="D1450" s="3536" t="s">
        <v>10081</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10082</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9913</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10083</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9926</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9938</v>
      </c>
      <c r="E1455" s="3536"/>
      <c r="F1455" s="3530"/>
      <c r="G1455" s="3528"/>
      <c r="H1455" s="3905"/>
      <c r="I1455" s="3926"/>
      <c r="J1455" s="3529"/>
      <c r="K1455" s="3568"/>
      <c r="M1455" s="5014"/>
      <c r="P1455" s="5108"/>
    </row>
    <row r="1456" spans="1:21" ht="13.5" customHeight="1">
      <c r="A1456" s="3637">
        <v>198</v>
      </c>
      <c r="B1456" s="3536" t="s">
        <v>7934</v>
      </c>
      <c r="C1456" s="3536">
        <v>998751202</v>
      </c>
      <c r="D1456" s="3536" t="s">
        <v>7935</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7936</v>
      </c>
      <c r="D1457" s="3536" t="s">
        <v>7937</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7938</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7939</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8106</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7934</v>
      </c>
      <c r="C1461" s="3536" t="s">
        <v>8156</v>
      </c>
      <c r="D1461" s="3536" t="s">
        <v>10085</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6917</v>
      </c>
      <c r="E1462" s="3343"/>
      <c r="F1462" s="3202">
        <v>1</v>
      </c>
      <c r="G1462" s="3528"/>
      <c r="H1462" s="3905"/>
      <c r="I1462" s="3926"/>
      <c r="J1462" s="3529"/>
      <c r="K1462" s="5063"/>
      <c r="L1462" s="5081"/>
      <c r="M1462" s="5117"/>
      <c r="S1462" s="1534"/>
    </row>
    <row r="1463" spans="1:99" ht="13.5" customHeight="1">
      <c r="A1463" s="3637">
        <v>201</v>
      </c>
      <c r="B1463" s="3536" t="s">
        <v>7934</v>
      </c>
      <c r="C1463" s="3536" t="s">
        <v>10391</v>
      </c>
      <c r="D1463" s="3536" t="s">
        <v>10086</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10087</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10088</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10089</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10090</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10091</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7934</v>
      </c>
      <c r="C1469" s="3536" t="s">
        <v>10397</v>
      </c>
      <c r="D1469" s="3536" t="s">
        <v>10398</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10399</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10407</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7934</v>
      </c>
      <c r="C1472" s="3536" t="s">
        <v>11593</v>
      </c>
      <c r="D1472" s="3536" t="s">
        <v>11607</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11608</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11609</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11595</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11594</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7934</v>
      </c>
      <c r="C1477" s="3536" t="s">
        <v>11596</v>
      </c>
      <c r="D1477" s="3536" t="s">
        <v>11606</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11598</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11609</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11595</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11599</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7934</v>
      </c>
      <c r="C1482" s="3536" t="s">
        <v>11601</v>
      </c>
      <c r="D1482" s="3536" t="s">
        <v>11611</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11612</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11610</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11613</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7934</v>
      </c>
      <c r="C1486" s="3536" t="s">
        <v>10392</v>
      </c>
      <c r="D1486" s="3536" t="s">
        <v>10395</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10396</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11592</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7934</v>
      </c>
      <c r="C1489" s="3536" t="s">
        <v>10393</v>
      </c>
      <c r="D1489" s="3569" t="s">
        <v>8084</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10093</v>
      </c>
      <c r="E1490" s="3569"/>
      <c r="F1490" s="3570"/>
      <c r="G1490" s="4521"/>
      <c r="H1490" s="3914"/>
      <c r="I1490" s="3935"/>
      <c r="J1490" s="3529"/>
      <c r="K1490" s="5123"/>
      <c r="N1490" s="5125"/>
    </row>
    <row r="1491" spans="1:122" s="1061" customFormat="1" ht="13.5" customHeight="1">
      <c r="A1491" s="4522"/>
      <c r="B1491" s="3558"/>
      <c r="C1491" s="3558"/>
      <c r="D1491" s="3548" t="s">
        <v>10094</v>
      </c>
      <c r="E1491" s="3558"/>
      <c r="F1491" s="3530">
        <f>(2.5+4.5)</f>
        <v>7</v>
      </c>
      <c r="G1491" s="3559"/>
      <c r="H1491" s="3905"/>
      <c r="I1491" s="3926"/>
      <c r="J1491" s="4432"/>
    </row>
    <row r="1492" spans="1:122" s="2613" customFormat="1" ht="27.75" customHeight="1">
      <c r="A1492" s="3572"/>
      <c r="B1492" s="3573"/>
      <c r="C1492" s="3573"/>
      <c r="D1492" s="3571" t="s">
        <v>8087</v>
      </c>
      <c r="E1492" s="3573"/>
      <c r="F1492" s="3686"/>
      <c r="G1492" s="3574"/>
      <c r="H1492" s="3921"/>
      <c r="I1492" s="3944"/>
      <c r="J1492" s="4452"/>
      <c r="K1492" s="5126"/>
    </row>
    <row r="1493" spans="1:122" customFormat="1" ht="13.5" customHeight="1">
      <c r="A1493" s="3525">
        <v>208</v>
      </c>
      <c r="B1493" s="3575" t="s">
        <v>1007</v>
      </c>
      <c r="C1493" s="3536" t="s">
        <v>10092</v>
      </c>
      <c r="D1493" s="3536" t="s">
        <v>10095</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10096</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11602</v>
      </c>
      <c r="B1495" s="3558"/>
      <c r="C1495" s="3547">
        <v>763131912</v>
      </c>
      <c r="D1495" s="3548" t="s">
        <v>10097</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11603</v>
      </c>
      <c r="B1496" s="3558"/>
      <c r="C1496" s="3547" t="s">
        <v>10098</v>
      </c>
      <c r="D1496" s="3548" t="s">
        <v>10099</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11604</v>
      </c>
      <c r="B1497" s="3555"/>
      <c r="C1497" s="3551" t="s">
        <v>6448</v>
      </c>
      <c r="D1497" s="3552" t="s">
        <v>10100</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11605</v>
      </c>
      <c r="B1498" s="3558"/>
      <c r="C1498" s="3547" t="s">
        <v>6423</v>
      </c>
      <c r="D1498" s="3548" t="s">
        <v>11597</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10101</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10102</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10103</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6426</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10394</v>
      </c>
      <c r="D1503" s="3536" t="s">
        <v>10104</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10105</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10106</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10107</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7934</v>
      </c>
      <c r="C1507" s="3431">
        <v>998751202</v>
      </c>
      <c r="D1507" s="3431" t="s">
        <v>7935</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7936</v>
      </c>
      <c r="D1508" s="3431" t="s">
        <v>7937</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7938</v>
      </c>
      <c r="E1509" s="3580"/>
      <c r="F1509" s="3445">
        <v>35</v>
      </c>
      <c r="G1509" s="3581"/>
      <c r="H1509" s="3922"/>
      <c r="I1509" s="3945"/>
      <c r="J1509" s="4518"/>
      <c r="M1509" s="5136"/>
    </row>
    <row r="1510" spans="1:124" s="2677" customFormat="1" ht="27" customHeight="1">
      <c r="A1510" s="3579"/>
      <c r="B1510" s="3580"/>
      <c r="C1510" s="3580"/>
      <c r="D1510" s="3439" t="s">
        <v>6543</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903" t="s">
        <v>99</v>
      </c>
      <c r="B1513" s="5904"/>
      <c r="C1513" s="5905"/>
      <c r="D1513" s="2642" t="s">
        <v>10501</v>
      </c>
      <c r="E1513" s="2643"/>
      <c r="F1513" s="3059"/>
      <c r="G1513" s="2645"/>
      <c r="H1513" s="3852">
        <f>H1511</f>
        <v>0</v>
      </c>
      <c r="I1513" s="3853"/>
      <c r="J1513" s="2646"/>
    </row>
    <row r="1514" spans="1:124" ht="13.5" customHeight="1">
      <c r="A1514" s="5903" t="s">
        <v>99</v>
      </c>
      <c r="B1514" s="5904"/>
      <c r="C1514" s="5905"/>
      <c r="D1514" s="2642" t="s">
        <v>10502</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814" t="s">
        <v>8170</v>
      </c>
      <c r="B1517" s="5814"/>
      <c r="C1517" s="5814"/>
      <c r="D1517" s="5814"/>
      <c r="E1517" s="5814"/>
      <c r="F1517" s="5814"/>
      <c r="G1517" s="5814"/>
      <c r="H1517" s="48"/>
      <c r="I1517" s="48"/>
      <c r="J1517" s="53"/>
    </row>
    <row r="1518" spans="1:124" ht="93.75" customHeight="1">
      <c r="A1518" s="5814" t="s">
        <v>26</v>
      </c>
      <c r="B1518" s="5814"/>
      <c r="C1518" s="5814"/>
      <c r="D1518" s="5814"/>
      <c r="E1518" s="5814"/>
      <c r="F1518" s="5814"/>
      <c r="G1518" s="5814"/>
      <c r="H1518" s="48"/>
      <c r="I1518" s="48"/>
      <c r="J1518" s="48"/>
    </row>
    <row r="1519" spans="1:124" ht="13.5" customHeight="1">
      <c r="A1519" s="5814" t="s">
        <v>27</v>
      </c>
      <c r="B1519" s="5814"/>
      <c r="C1519" s="5814"/>
      <c r="D1519" s="5814"/>
      <c r="E1519" s="5814"/>
      <c r="F1519" s="5814"/>
      <c r="G1519" s="5814"/>
      <c r="H1519" s="318"/>
      <c r="I1519" s="318"/>
      <c r="J1519" s="318"/>
    </row>
    <row r="1520" spans="1:124" ht="13.5" customHeight="1">
      <c r="A1520" s="5814" t="s">
        <v>28</v>
      </c>
      <c r="B1520" s="5814"/>
      <c r="C1520" s="5814"/>
      <c r="D1520" s="5814"/>
      <c r="E1520" s="5814"/>
      <c r="F1520" s="5814"/>
      <c r="G1520" s="5814"/>
      <c r="H1520" s="318"/>
      <c r="I1520" s="318"/>
      <c r="J1520" s="318"/>
    </row>
    <row r="1521" spans="1:10" ht="13.5" customHeight="1">
      <c r="A1521" s="5816" t="s">
        <v>10108</v>
      </c>
      <c r="B1521" s="5816"/>
      <c r="C1521" s="5816"/>
      <c r="D1521" s="5816"/>
      <c r="E1521" s="5816"/>
      <c r="F1521" s="5816"/>
      <c r="G1521" s="5816"/>
      <c r="H1521" s="318"/>
      <c r="I1521" s="318"/>
      <c r="J1521" s="318"/>
    </row>
    <row r="1522" spans="1:10" ht="40.5" customHeight="1">
      <c r="A1522" s="5816" t="s">
        <v>61</v>
      </c>
      <c r="B1522" s="5816"/>
      <c r="C1522" s="5816"/>
      <c r="D1522" s="5816"/>
      <c r="E1522" s="5816"/>
      <c r="F1522" s="5816"/>
      <c r="G1522" s="5816"/>
      <c r="J1522" s="53"/>
    </row>
    <row r="1523" spans="1:10">
      <c r="A1523" s="5814"/>
      <c r="B1523" s="5906"/>
      <c r="C1523" s="5906"/>
      <c r="D1523" s="5906"/>
      <c r="E1523" s="5906"/>
      <c r="F1523" s="5906"/>
      <c r="G1523" s="5906"/>
      <c r="H1523" s="318"/>
      <c r="I1523" s="318"/>
      <c r="J1523" s="318"/>
    </row>
    <row r="1524" spans="1:10">
      <c r="A1524" s="54"/>
      <c r="B1524" s="2654"/>
      <c r="C1524" s="2654"/>
      <c r="D1524" s="2654"/>
      <c r="E1524" s="2654"/>
      <c r="F1524" s="3061"/>
      <c r="G1524" s="2654"/>
      <c r="H1524" s="318"/>
      <c r="I1524" s="318"/>
      <c r="J1524" s="318"/>
    </row>
    <row r="1538" spans="257:257">
      <c r="IW1538" s="52" t="s">
        <v>10109</v>
      </c>
    </row>
  </sheetData>
  <mergeCells count="18">
    <mergeCell ref="A1513:C1513"/>
    <mergeCell ref="A2:J2"/>
    <mergeCell ref="L12:M12"/>
    <mergeCell ref="L19:M19"/>
    <mergeCell ref="L26:M26"/>
    <mergeCell ref="L33:M33"/>
    <mergeCell ref="G46:I46"/>
    <mergeCell ref="G43:I43"/>
    <mergeCell ref="G40:I40"/>
    <mergeCell ref="G37:I37"/>
    <mergeCell ref="A1514:C1514"/>
    <mergeCell ref="A1523:G1523"/>
    <mergeCell ref="A1517:G1517"/>
    <mergeCell ref="A1518:G1518"/>
    <mergeCell ref="A1519:G1519"/>
    <mergeCell ref="A1520:G1520"/>
    <mergeCell ref="A1521:G1521"/>
    <mergeCell ref="A1522:G152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894" t="s">
        <v>7072</v>
      </c>
      <c r="B2" s="5899"/>
      <c r="C2" s="5899"/>
      <c r="D2" s="5899"/>
      <c r="E2" s="5899"/>
      <c r="F2" s="5899"/>
      <c r="G2" s="5899"/>
      <c r="H2" s="5899"/>
      <c r="I2" s="5899"/>
      <c r="J2" s="5899"/>
      <c r="K2" s="5912"/>
      <c r="L2" s="5912"/>
      <c r="M2" s="5912"/>
      <c r="N2" s="5912"/>
      <c r="O2" s="5912"/>
      <c r="P2" s="5912"/>
    </row>
    <row r="3" spans="1:30" ht="13.5" customHeight="1">
      <c r="A3" s="2353" t="s">
        <v>8437</v>
      </c>
      <c r="B3" s="2354"/>
      <c r="C3" s="2354"/>
      <c r="D3" s="2354"/>
      <c r="E3" s="2354"/>
      <c r="F3" s="2682"/>
      <c r="G3" s="2355"/>
      <c r="H3" s="2356"/>
      <c r="I3" s="2356"/>
      <c r="J3" s="2356"/>
      <c r="K3" s="5912"/>
      <c r="L3" s="5912"/>
      <c r="M3" s="5912"/>
      <c r="N3" s="5912"/>
      <c r="O3" s="5912"/>
      <c r="P3" s="5912"/>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10491</v>
      </c>
      <c r="I5" s="3786" t="s">
        <v>10492</v>
      </c>
      <c r="J5" s="2361" t="s">
        <v>22</v>
      </c>
      <c r="K5" s="2684"/>
    </row>
    <row r="6" spans="1:30">
      <c r="A6" s="2360" t="s">
        <v>133</v>
      </c>
      <c r="B6" s="2360" t="s">
        <v>134</v>
      </c>
      <c r="C6" s="2360">
        <v>3</v>
      </c>
      <c r="D6" s="2360">
        <v>4</v>
      </c>
      <c r="E6" s="2360">
        <v>5</v>
      </c>
      <c r="F6" s="2683">
        <v>6</v>
      </c>
      <c r="G6" s="2360">
        <v>7</v>
      </c>
      <c r="H6" s="3785" t="s">
        <v>10489</v>
      </c>
      <c r="I6" s="3786" t="s">
        <v>10490</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8438</v>
      </c>
      <c r="E8" s="2383"/>
      <c r="F8" s="2384"/>
      <c r="G8" s="2371"/>
      <c r="H8" s="3860">
        <f>SUM(H9:H154)</f>
        <v>0</v>
      </c>
      <c r="I8" s="3999">
        <f>SUM(I9:I154)</f>
        <v>0</v>
      </c>
      <c r="J8" s="2372"/>
    </row>
    <row r="9" spans="1:30" s="2356" customFormat="1" ht="13.5" customHeight="1">
      <c r="A9" s="2382">
        <v>1</v>
      </c>
      <c r="B9" s="2376" t="s">
        <v>8439</v>
      </c>
      <c r="C9" s="2374" t="s">
        <v>8440</v>
      </c>
      <c r="D9" s="2374" t="s">
        <v>8441</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8442</v>
      </c>
      <c r="E10" s="2374"/>
      <c r="F10" s="2378">
        <v>2</v>
      </c>
      <c r="G10" s="2379"/>
      <c r="H10" s="3948"/>
      <c r="I10" s="4001"/>
      <c r="J10" s="2380"/>
      <c r="K10" s="5139"/>
      <c r="N10" s="2686"/>
    </row>
    <row r="11" spans="1:30" s="2356" customFormat="1" ht="40.5" customHeight="1">
      <c r="A11" s="2382"/>
      <c r="B11" s="2376"/>
      <c r="C11" s="2374"/>
      <c r="D11" s="2377" t="s">
        <v>8443</v>
      </c>
      <c r="E11" s="2374"/>
      <c r="F11" s="2375"/>
      <c r="G11" s="2379"/>
      <c r="H11" s="3948"/>
      <c r="I11" s="4001"/>
      <c r="J11" s="2380"/>
      <c r="K11" s="2687"/>
      <c r="T11" s="5140"/>
      <c r="AB11" s="5141"/>
      <c r="AD11" s="5142"/>
    </row>
    <row r="12" spans="1:30" s="2356" customFormat="1" ht="13.5" customHeight="1">
      <c r="A12" s="2382"/>
      <c r="B12" s="2376"/>
      <c r="C12" s="2374"/>
      <c r="D12" s="2377" t="s">
        <v>8444</v>
      </c>
      <c r="E12" s="2374"/>
      <c r="F12" s="2378"/>
      <c r="G12" s="2379"/>
      <c r="H12" s="3948"/>
      <c r="I12" s="4001"/>
      <c r="J12" s="2379"/>
      <c r="K12" s="2397"/>
    </row>
    <row r="13" spans="1:30" s="2356" customFormat="1" ht="13.5" customHeight="1">
      <c r="A13" s="2382">
        <v>2</v>
      </c>
      <c r="B13" s="2376" t="s">
        <v>8439</v>
      </c>
      <c r="C13" s="2374" t="s">
        <v>8445</v>
      </c>
      <c r="D13" s="2374" t="s">
        <v>8441</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8446</v>
      </c>
      <c r="E14" s="2374"/>
      <c r="F14" s="2378">
        <v>5</v>
      </c>
      <c r="G14" s="2379"/>
      <c r="H14" s="3948"/>
      <c r="I14" s="4001"/>
      <c r="J14" s="2380"/>
      <c r="K14" s="5139"/>
      <c r="N14" s="2686"/>
    </row>
    <row r="15" spans="1:30" s="2356" customFormat="1" ht="40.5" customHeight="1">
      <c r="A15" s="2382"/>
      <c r="B15" s="2376"/>
      <c r="C15" s="2374"/>
      <c r="D15" s="2377" t="s">
        <v>8443</v>
      </c>
      <c r="E15" s="2374"/>
      <c r="F15" s="2375"/>
      <c r="G15" s="2379"/>
      <c r="H15" s="3948"/>
      <c r="I15" s="4001"/>
      <c r="J15" s="2380"/>
      <c r="K15" s="2687"/>
      <c r="T15" s="5140"/>
      <c r="AB15" s="5141"/>
      <c r="AD15" s="5142"/>
    </row>
    <row r="16" spans="1:30" s="2356" customFormat="1" ht="13.5" customHeight="1">
      <c r="A16" s="2382"/>
      <c r="B16" s="2376"/>
      <c r="C16" s="2374"/>
      <c r="D16" s="2377" t="s">
        <v>8444</v>
      </c>
      <c r="E16" s="2374"/>
      <c r="F16" s="2378"/>
      <c r="G16" s="2379"/>
      <c r="H16" s="3948"/>
      <c r="I16" s="4001"/>
      <c r="J16" s="2379"/>
      <c r="K16" s="2397"/>
    </row>
    <row r="17" spans="1:30" s="2356" customFormat="1" ht="13.5" customHeight="1">
      <c r="A17" s="2382">
        <v>3</v>
      </c>
      <c r="B17" s="2376" t="s">
        <v>8439</v>
      </c>
      <c r="C17" s="2374" t="s">
        <v>8447</v>
      </c>
      <c r="D17" s="2374" t="s">
        <v>8441</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8448</v>
      </c>
      <c r="E18" s="2374"/>
      <c r="F18" s="2378">
        <v>4</v>
      </c>
      <c r="G18" s="2379"/>
      <c r="H18" s="3948"/>
      <c r="I18" s="4001"/>
      <c r="J18" s="2380"/>
      <c r="K18" s="5139"/>
      <c r="N18" s="2686"/>
    </row>
    <row r="19" spans="1:30" s="2356" customFormat="1" ht="40.5" customHeight="1">
      <c r="A19" s="2382"/>
      <c r="B19" s="2376"/>
      <c r="C19" s="2374"/>
      <c r="D19" s="2377" t="s">
        <v>8443</v>
      </c>
      <c r="E19" s="2374"/>
      <c r="F19" s="2375"/>
      <c r="G19" s="2379"/>
      <c r="H19" s="3948"/>
      <c r="I19" s="4001"/>
      <c r="J19" s="2380"/>
      <c r="K19" s="2687"/>
      <c r="T19" s="5140"/>
      <c r="AB19" s="5141"/>
      <c r="AD19" s="5142"/>
    </row>
    <row r="20" spans="1:30" s="2356" customFormat="1" ht="13.5" customHeight="1">
      <c r="A20" s="2382"/>
      <c r="B20" s="2376"/>
      <c r="C20" s="2374"/>
      <c r="D20" s="2377" t="s">
        <v>8444</v>
      </c>
      <c r="E20" s="2374"/>
      <c r="F20" s="2378"/>
      <c r="G20" s="2379"/>
      <c r="H20" s="3948"/>
      <c r="I20" s="4001"/>
      <c r="J20" s="2379"/>
      <c r="K20" s="2397"/>
    </row>
    <row r="21" spans="1:30" s="2356" customFormat="1" ht="13.5" customHeight="1">
      <c r="A21" s="2382">
        <v>4</v>
      </c>
      <c r="B21" s="2376" t="s">
        <v>8439</v>
      </c>
      <c r="C21" s="2374" t="s">
        <v>8449</v>
      </c>
      <c r="D21" s="2374" t="s">
        <v>8441</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8450</v>
      </c>
      <c r="E22" s="2374"/>
      <c r="F22" s="2378">
        <v>3</v>
      </c>
      <c r="G22" s="2379"/>
      <c r="H22" s="3948"/>
      <c r="I22" s="4001"/>
      <c r="J22" s="2380"/>
      <c r="K22" s="5139"/>
      <c r="N22" s="2686"/>
    </row>
    <row r="23" spans="1:30" s="2356" customFormat="1" ht="40.5" customHeight="1">
      <c r="A23" s="2382"/>
      <c r="B23" s="2376"/>
      <c r="C23" s="2374"/>
      <c r="D23" s="2377" t="s">
        <v>8443</v>
      </c>
      <c r="E23" s="2374"/>
      <c r="F23" s="2375"/>
      <c r="G23" s="2379"/>
      <c r="H23" s="3948"/>
      <c r="I23" s="4001"/>
      <c r="J23" s="2380"/>
      <c r="K23" s="2687"/>
      <c r="T23" s="5140"/>
      <c r="AB23" s="5141"/>
      <c r="AD23" s="5142"/>
    </row>
    <row r="24" spans="1:30" s="2356" customFormat="1" ht="13.5" customHeight="1">
      <c r="A24" s="2382"/>
      <c r="B24" s="2376"/>
      <c r="C24" s="2374"/>
      <c r="D24" s="2377" t="s">
        <v>8444</v>
      </c>
      <c r="E24" s="2374"/>
      <c r="F24" s="2378"/>
      <c r="G24" s="2379"/>
      <c r="H24" s="3948"/>
      <c r="I24" s="4001"/>
      <c r="J24" s="2379"/>
      <c r="K24" s="2397"/>
    </row>
    <row r="25" spans="1:30" s="2356" customFormat="1" ht="13.5" customHeight="1">
      <c r="A25" s="2382">
        <v>5</v>
      </c>
      <c r="B25" s="2376" t="s">
        <v>8439</v>
      </c>
      <c r="C25" s="2374" t="s">
        <v>8451</v>
      </c>
      <c r="D25" s="2374" t="s">
        <v>8441</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8452</v>
      </c>
      <c r="E26" s="2374"/>
      <c r="F26" s="2378">
        <v>1</v>
      </c>
      <c r="G26" s="2379"/>
      <c r="H26" s="3948"/>
      <c r="I26" s="4001"/>
      <c r="J26" s="2380"/>
      <c r="K26" s="5139"/>
      <c r="N26" s="2686"/>
    </row>
    <row r="27" spans="1:30" s="2356" customFormat="1" ht="40.5" customHeight="1">
      <c r="A27" s="2382"/>
      <c r="B27" s="2376"/>
      <c r="C27" s="2374"/>
      <c r="D27" s="2377" t="s">
        <v>8443</v>
      </c>
      <c r="E27" s="2374"/>
      <c r="F27" s="2375"/>
      <c r="G27" s="2379"/>
      <c r="H27" s="3948"/>
      <c r="I27" s="4001"/>
      <c r="J27" s="2380"/>
      <c r="K27" s="2687"/>
      <c r="T27" s="5140"/>
      <c r="AB27" s="5141"/>
      <c r="AD27" s="5142"/>
    </row>
    <row r="28" spans="1:30" s="2356" customFormat="1" ht="13.5" customHeight="1">
      <c r="A28" s="2382"/>
      <c r="B28" s="2376"/>
      <c r="C28" s="2374"/>
      <c r="D28" s="2377" t="s">
        <v>8444</v>
      </c>
      <c r="E28" s="2374"/>
      <c r="F28" s="2378"/>
      <c r="G28" s="2379"/>
      <c r="H28" s="3948"/>
      <c r="I28" s="4001"/>
      <c r="J28" s="2379"/>
      <c r="K28" s="2397"/>
    </row>
    <row r="29" spans="1:30" s="2356" customFormat="1" ht="13.5" customHeight="1">
      <c r="A29" s="2382">
        <v>6</v>
      </c>
      <c r="B29" s="2376" t="s">
        <v>8439</v>
      </c>
      <c r="C29" s="2374" t="s">
        <v>8453</v>
      </c>
      <c r="D29" s="2374" t="s">
        <v>8441</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8454</v>
      </c>
      <c r="E30" s="2374"/>
      <c r="F30" s="2378">
        <v>1</v>
      </c>
      <c r="G30" s="2379"/>
      <c r="H30" s="3948"/>
      <c r="I30" s="4001"/>
      <c r="J30" s="2380"/>
      <c r="K30" s="5139"/>
      <c r="N30" s="2686"/>
    </row>
    <row r="31" spans="1:30" s="2356" customFormat="1" ht="40.5" customHeight="1">
      <c r="A31" s="2382"/>
      <c r="B31" s="2376"/>
      <c r="C31" s="2374"/>
      <c r="D31" s="2377" t="s">
        <v>8443</v>
      </c>
      <c r="E31" s="2374"/>
      <c r="F31" s="2375"/>
      <c r="G31" s="2379"/>
      <c r="H31" s="3948"/>
      <c r="I31" s="4001"/>
      <c r="J31" s="2380"/>
      <c r="K31" s="2687"/>
      <c r="T31" s="5140"/>
      <c r="AB31" s="5141"/>
      <c r="AD31" s="5142"/>
    </row>
    <row r="32" spans="1:30" s="2356" customFormat="1" ht="13.5" customHeight="1">
      <c r="A32" s="2382"/>
      <c r="B32" s="2376"/>
      <c r="C32" s="2374"/>
      <c r="D32" s="2377" t="s">
        <v>8444</v>
      </c>
      <c r="E32" s="2374"/>
      <c r="F32" s="2378"/>
      <c r="G32" s="2379"/>
      <c r="H32" s="3948"/>
      <c r="I32" s="4001"/>
      <c r="J32" s="2379"/>
      <c r="K32" s="2397"/>
    </row>
    <row r="33" spans="1:30" s="2356" customFormat="1" ht="13.5" customHeight="1">
      <c r="A33" s="2382">
        <v>7</v>
      </c>
      <c r="B33" s="2376" t="s">
        <v>8439</v>
      </c>
      <c r="C33" s="2374" t="s">
        <v>8455</v>
      </c>
      <c r="D33" s="2374" t="s">
        <v>8441</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8456</v>
      </c>
      <c r="E34" s="2374"/>
      <c r="F34" s="2378">
        <v>2</v>
      </c>
      <c r="G34" s="2379"/>
      <c r="H34" s="3948"/>
      <c r="I34" s="4001"/>
      <c r="J34" s="2380"/>
      <c r="K34" s="5139"/>
      <c r="N34" s="2686"/>
    </row>
    <row r="35" spans="1:30" s="2356" customFormat="1" ht="40.5" customHeight="1">
      <c r="A35" s="2382"/>
      <c r="B35" s="2376"/>
      <c r="C35" s="2374"/>
      <c r="D35" s="2377" t="s">
        <v>8443</v>
      </c>
      <c r="E35" s="2374"/>
      <c r="F35" s="2375"/>
      <c r="G35" s="2379"/>
      <c r="H35" s="3948"/>
      <c r="I35" s="4001"/>
      <c r="J35" s="2380"/>
      <c r="K35" s="2687"/>
      <c r="T35" s="5140"/>
      <c r="AB35" s="5141"/>
      <c r="AD35" s="5142"/>
    </row>
    <row r="36" spans="1:30" s="2356" customFormat="1" ht="13.5" customHeight="1">
      <c r="A36" s="2382"/>
      <c r="B36" s="2376"/>
      <c r="C36" s="2374"/>
      <c r="D36" s="2377" t="s">
        <v>8444</v>
      </c>
      <c r="E36" s="2374"/>
      <c r="F36" s="2378"/>
      <c r="G36" s="2379"/>
      <c r="H36" s="3948"/>
      <c r="I36" s="4001"/>
      <c r="J36" s="2379"/>
      <c r="K36" s="5143"/>
    </row>
    <row r="37" spans="1:30" s="2356" customFormat="1" ht="13.5" customHeight="1">
      <c r="A37" s="2382">
        <v>8</v>
      </c>
      <c r="B37" s="2376" t="s">
        <v>8439</v>
      </c>
      <c r="C37" s="2374" t="s">
        <v>8457</v>
      </c>
      <c r="D37" s="2374" t="s">
        <v>8458</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8459</v>
      </c>
      <c r="E38" s="2374"/>
      <c r="F38" s="2378"/>
      <c r="G38" s="2379"/>
      <c r="H38" s="3948"/>
      <c r="I38" s="4001"/>
      <c r="J38" s="2380"/>
      <c r="K38" s="5139"/>
      <c r="L38" s="2686"/>
    </row>
    <row r="39" spans="1:30" s="2356" customFormat="1" ht="13.5" customHeight="1">
      <c r="A39" s="2382"/>
      <c r="B39" s="2376"/>
      <c r="C39" s="2374"/>
      <c r="D39" s="2377" t="s">
        <v>8460</v>
      </c>
      <c r="E39" s="2493"/>
      <c r="F39" s="2378">
        <v>1</v>
      </c>
      <c r="G39" s="2379"/>
      <c r="H39" s="3948"/>
      <c r="I39" s="4001"/>
      <c r="J39" s="2380"/>
      <c r="K39" s="5144"/>
      <c r="R39" s="4984"/>
      <c r="S39" s="4984"/>
    </row>
    <row r="40" spans="1:30" s="2356" customFormat="1" ht="13.5" customHeight="1">
      <c r="A40" s="2382"/>
      <c r="B40" s="2376"/>
      <c r="C40" s="2374"/>
      <c r="D40" s="2377" t="s">
        <v>8461</v>
      </c>
      <c r="E40" s="2493"/>
      <c r="F40" s="2378">
        <v>8</v>
      </c>
      <c r="G40" s="2379"/>
      <c r="H40" s="3948"/>
      <c r="I40" s="4001"/>
      <c r="J40" s="122"/>
      <c r="K40" s="2687"/>
      <c r="R40" s="4984"/>
      <c r="S40" s="4984"/>
    </row>
    <row r="41" spans="1:30" s="2356" customFormat="1" ht="13.5" customHeight="1">
      <c r="A41" s="2382"/>
      <c r="B41" s="2376"/>
      <c r="C41" s="2374"/>
      <c r="D41" s="2377" t="s">
        <v>8462</v>
      </c>
      <c r="E41" s="2493"/>
      <c r="F41" s="2378">
        <v>4</v>
      </c>
      <c r="G41" s="2379"/>
      <c r="H41" s="3948"/>
      <c r="I41" s="4001"/>
      <c r="J41" s="122"/>
      <c r="K41" s="5144"/>
      <c r="R41" s="4984"/>
      <c r="S41" s="4984"/>
    </row>
    <row r="42" spans="1:30" s="2356" customFormat="1" ht="13.5" customHeight="1">
      <c r="A42" s="2382"/>
      <c r="B42" s="2376"/>
      <c r="C42" s="2374"/>
      <c r="D42" s="2377" t="s">
        <v>8463</v>
      </c>
      <c r="E42" s="2493"/>
      <c r="F42" s="2378">
        <v>1</v>
      </c>
      <c r="G42" s="2379"/>
      <c r="H42" s="3948"/>
      <c r="I42" s="4001"/>
      <c r="J42" s="122"/>
      <c r="K42" s="5144"/>
      <c r="R42" s="4984"/>
      <c r="S42" s="4984"/>
    </row>
    <row r="43" spans="1:30" s="2356" customFormat="1" ht="13.5" customHeight="1">
      <c r="A43" s="2382"/>
      <c r="B43" s="2376"/>
      <c r="C43" s="2374"/>
      <c r="D43" s="2377" t="s">
        <v>8464</v>
      </c>
      <c r="E43" s="2493"/>
      <c r="F43" s="2378">
        <v>4</v>
      </c>
      <c r="G43" s="2379"/>
      <c r="H43" s="3948"/>
      <c r="I43" s="4001"/>
      <c r="J43" s="122"/>
      <c r="K43" s="5144"/>
      <c r="R43" s="4984"/>
      <c r="S43" s="4984"/>
    </row>
    <row r="44" spans="1:30" ht="40.5" customHeight="1">
      <c r="A44" s="2382"/>
      <c r="B44" s="2374"/>
      <c r="C44" s="2374"/>
      <c r="D44" s="2309" t="s">
        <v>8465</v>
      </c>
      <c r="E44" s="2374"/>
      <c r="F44" s="2511"/>
      <c r="G44" s="2379"/>
      <c r="H44" s="3948"/>
      <c r="I44" s="4001"/>
      <c r="J44" s="2688"/>
      <c r="K44" s="5145"/>
      <c r="L44" s="5146"/>
      <c r="M44" s="5145"/>
      <c r="V44" s="5147"/>
    </row>
    <row r="45" spans="1:30" s="2356" customFormat="1" ht="13.5" customHeight="1">
      <c r="A45" s="2382"/>
      <c r="B45" s="2376"/>
      <c r="C45" s="2374"/>
      <c r="D45" s="2377" t="s">
        <v>8466</v>
      </c>
      <c r="E45" s="2374"/>
      <c r="F45" s="2378"/>
      <c r="G45" s="2379"/>
      <c r="H45" s="3948"/>
      <c r="I45" s="4001"/>
      <c r="J45" s="2379"/>
      <c r="K45" s="2397"/>
    </row>
    <row r="46" spans="1:30" s="2356" customFormat="1" ht="13.5" customHeight="1">
      <c r="A46" s="2382">
        <v>9</v>
      </c>
      <c r="B46" s="2376" t="s">
        <v>8439</v>
      </c>
      <c r="C46" s="2374" t="s">
        <v>8467</v>
      </c>
      <c r="D46" s="2374" t="s">
        <v>8468</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8469</v>
      </c>
      <c r="E47" s="2374"/>
      <c r="F47" s="2378"/>
      <c r="G47" s="2379"/>
      <c r="H47" s="3948"/>
      <c r="I47" s="4001"/>
      <c r="J47" s="2380"/>
      <c r="K47" s="5144"/>
    </row>
    <row r="48" spans="1:30" s="2356" customFormat="1" ht="13.5" customHeight="1">
      <c r="A48" s="2382"/>
      <c r="B48" s="2376"/>
      <c r="C48" s="2374"/>
      <c r="D48" s="2377" t="s">
        <v>8470</v>
      </c>
      <c r="E48" s="2493"/>
      <c r="F48" s="2378">
        <v>7</v>
      </c>
      <c r="G48" s="2379"/>
      <c r="H48" s="3948"/>
      <c r="I48" s="4001"/>
      <c r="J48" s="122"/>
      <c r="K48" s="5144"/>
      <c r="R48" s="4984"/>
      <c r="S48" s="4984"/>
    </row>
    <row r="49" spans="1:19" s="2356" customFormat="1" ht="13.5" customHeight="1">
      <c r="A49" s="2382"/>
      <c r="B49" s="2376"/>
      <c r="C49" s="2374"/>
      <c r="D49" s="2377" t="s">
        <v>8471</v>
      </c>
      <c r="E49" s="2493"/>
      <c r="F49" s="2378">
        <v>8</v>
      </c>
      <c r="G49" s="2379"/>
      <c r="H49" s="3948"/>
      <c r="I49" s="4001"/>
      <c r="J49" s="122"/>
      <c r="K49" s="5144"/>
      <c r="R49" s="4984"/>
      <c r="S49" s="4984"/>
    </row>
    <row r="50" spans="1:19" s="2356" customFormat="1" ht="13.5" customHeight="1">
      <c r="A50" s="2382"/>
      <c r="B50" s="2376"/>
      <c r="C50" s="2374"/>
      <c r="D50" s="2377" t="s">
        <v>8472</v>
      </c>
      <c r="E50" s="2493"/>
      <c r="F50" s="2378">
        <v>8</v>
      </c>
      <c r="G50" s="2379"/>
      <c r="H50" s="3948"/>
      <c r="I50" s="4001"/>
      <c r="J50" s="122"/>
      <c r="K50" s="5144"/>
      <c r="R50" s="4984"/>
      <c r="S50" s="4984"/>
    </row>
    <row r="51" spans="1:19" s="2356" customFormat="1" ht="13.5" customHeight="1">
      <c r="A51" s="2382"/>
      <c r="B51" s="2376"/>
      <c r="C51" s="2374"/>
      <c r="D51" s="2377" t="s">
        <v>8473</v>
      </c>
      <c r="E51" s="2493"/>
      <c r="F51" s="2378">
        <v>6</v>
      </c>
      <c r="G51" s="2379"/>
      <c r="H51" s="3948"/>
      <c r="I51" s="4001"/>
      <c r="J51" s="122"/>
      <c r="K51" s="5144"/>
      <c r="R51" s="4984"/>
      <c r="S51" s="4984"/>
    </row>
    <row r="52" spans="1:19" s="2356" customFormat="1" ht="13.5" customHeight="1">
      <c r="A52" s="2382"/>
      <c r="B52" s="2376"/>
      <c r="C52" s="2374"/>
      <c r="D52" s="2377" t="s">
        <v>8474</v>
      </c>
      <c r="E52" s="2493"/>
      <c r="F52" s="2378">
        <v>4</v>
      </c>
      <c r="G52" s="2379"/>
      <c r="H52" s="3948"/>
      <c r="I52" s="4001"/>
      <c r="J52" s="122"/>
      <c r="K52" s="5144"/>
      <c r="R52" s="4984"/>
      <c r="S52" s="4984"/>
    </row>
    <row r="53" spans="1:19" s="2356" customFormat="1" ht="13.5" customHeight="1">
      <c r="A53" s="2382"/>
      <c r="B53" s="2376"/>
      <c r="C53" s="2374"/>
      <c r="D53" s="2377" t="s">
        <v>8475</v>
      </c>
      <c r="E53" s="2493"/>
      <c r="F53" s="2378">
        <v>6</v>
      </c>
      <c r="G53" s="2379"/>
      <c r="H53" s="3948"/>
      <c r="I53" s="4001"/>
      <c r="J53" s="122"/>
      <c r="K53" s="5144"/>
      <c r="R53" s="4984"/>
      <c r="S53" s="4984"/>
    </row>
    <row r="54" spans="1:19" s="2356" customFormat="1" ht="13.5" customHeight="1">
      <c r="A54" s="2382"/>
      <c r="B54" s="2376"/>
      <c r="C54" s="2374"/>
      <c r="D54" s="2377" t="s">
        <v>8476</v>
      </c>
      <c r="E54" s="2493"/>
      <c r="F54" s="2378">
        <v>8</v>
      </c>
      <c r="G54" s="2379"/>
      <c r="H54" s="3948"/>
      <c r="I54" s="4001"/>
      <c r="J54" s="122"/>
      <c r="K54" s="5144"/>
      <c r="R54" s="4984"/>
      <c r="S54" s="4984"/>
    </row>
    <row r="55" spans="1:19" s="2356" customFormat="1" ht="13.5" customHeight="1">
      <c r="A55" s="2382"/>
      <c r="B55" s="2376"/>
      <c r="C55" s="2374"/>
      <c r="D55" s="2377" t="s">
        <v>8477</v>
      </c>
      <c r="E55" s="2493"/>
      <c r="F55" s="2378">
        <v>9</v>
      </c>
      <c r="G55" s="2379"/>
      <c r="H55" s="3948"/>
      <c r="I55" s="4001"/>
      <c r="J55" s="122"/>
      <c r="K55" s="5144"/>
      <c r="R55" s="4984"/>
      <c r="S55" s="4984"/>
    </row>
    <row r="56" spans="1:19" s="2356" customFormat="1" ht="13.5" customHeight="1">
      <c r="A56" s="2382"/>
      <c r="B56" s="2376"/>
      <c r="C56" s="2374"/>
      <c r="D56" s="2377" t="s">
        <v>8478</v>
      </c>
      <c r="E56" s="2493"/>
      <c r="F56" s="2378">
        <v>6</v>
      </c>
      <c r="G56" s="2379"/>
      <c r="H56" s="3948"/>
      <c r="I56" s="4001"/>
      <c r="J56" s="122"/>
      <c r="K56" s="5144"/>
      <c r="R56" s="4984"/>
      <c r="S56" s="4984"/>
    </row>
    <row r="57" spans="1:19" s="2356" customFormat="1" ht="13.5" customHeight="1">
      <c r="A57" s="2382"/>
      <c r="B57" s="2376"/>
      <c r="C57" s="2374"/>
      <c r="D57" s="2377" t="s">
        <v>8479</v>
      </c>
      <c r="E57" s="2493"/>
      <c r="F57" s="2378">
        <v>9</v>
      </c>
      <c r="G57" s="2379"/>
      <c r="H57" s="3948"/>
      <c r="I57" s="4001"/>
      <c r="J57" s="122"/>
      <c r="K57" s="5144"/>
      <c r="R57" s="4984"/>
      <c r="S57" s="4984"/>
    </row>
    <row r="58" spans="1:19" s="2356" customFormat="1" ht="13.5" customHeight="1">
      <c r="A58" s="2382"/>
      <c r="B58" s="2376"/>
      <c r="C58" s="2374"/>
      <c r="D58" s="2377" t="s">
        <v>8480</v>
      </c>
      <c r="E58" s="2493"/>
      <c r="F58" s="2378">
        <v>9</v>
      </c>
      <c r="G58" s="2379"/>
      <c r="H58" s="3948"/>
      <c r="I58" s="4001"/>
      <c r="J58" s="122"/>
      <c r="K58" s="5144"/>
      <c r="R58" s="4984"/>
      <c r="S58" s="4984"/>
    </row>
    <row r="59" spans="1:19" s="2356" customFormat="1" ht="13.5" customHeight="1">
      <c r="A59" s="2382"/>
      <c r="B59" s="2376"/>
      <c r="C59" s="2374"/>
      <c r="D59" s="2377" t="s">
        <v>8481</v>
      </c>
      <c r="E59" s="2493"/>
      <c r="F59" s="2378">
        <v>8</v>
      </c>
      <c r="G59" s="2379"/>
      <c r="H59" s="3948"/>
      <c r="I59" s="4001"/>
      <c r="J59" s="122"/>
      <c r="K59" s="5144"/>
      <c r="R59" s="4984"/>
      <c r="S59" s="4984"/>
    </row>
    <row r="60" spans="1:19" s="2356" customFormat="1" ht="13.5" customHeight="1">
      <c r="A60" s="2382"/>
      <c r="B60" s="2376"/>
      <c r="C60" s="2374"/>
      <c r="D60" s="2377" t="s">
        <v>8482</v>
      </c>
      <c r="E60" s="2493"/>
      <c r="F60" s="2378">
        <v>8</v>
      </c>
      <c r="G60" s="2379"/>
      <c r="H60" s="3948"/>
      <c r="I60" s="4001"/>
      <c r="J60" s="122"/>
      <c r="K60" s="5144"/>
      <c r="R60" s="4984"/>
      <c r="S60" s="4984"/>
    </row>
    <row r="61" spans="1:19" s="2356" customFormat="1" ht="13.5" customHeight="1">
      <c r="A61" s="2382"/>
      <c r="B61" s="2376"/>
      <c r="C61" s="2374"/>
      <c r="D61" s="2377" t="s">
        <v>8483</v>
      </c>
      <c r="E61" s="2493"/>
      <c r="F61" s="2378">
        <v>8</v>
      </c>
      <c r="G61" s="2379"/>
      <c r="H61" s="3948"/>
      <c r="I61" s="4001"/>
      <c r="J61" s="122"/>
      <c r="K61" s="5144"/>
      <c r="R61" s="4984"/>
      <c r="S61" s="4984"/>
    </row>
    <row r="62" spans="1:19" s="2356" customFormat="1" ht="13.5" customHeight="1">
      <c r="A62" s="2382"/>
      <c r="B62" s="2376"/>
      <c r="C62" s="2374"/>
      <c r="D62" s="2377" t="s">
        <v>8484</v>
      </c>
      <c r="E62" s="2493"/>
      <c r="F62" s="2378">
        <v>6</v>
      </c>
      <c r="G62" s="2379"/>
      <c r="H62" s="3948"/>
      <c r="I62" s="4001"/>
      <c r="J62" s="122"/>
      <c r="K62" s="5144"/>
      <c r="R62" s="4984"/>
      <c r="S62" s="4984"/>
    </row>
    <row r="63" spans="1:19" s="2356" customFormat="1" ht="13.5" customHeight="1">
      <c r="A63" s="2382"/>
      <c r="B63" s="2376"/>
      <c r="C63" s="2374"/>
      <c r="D63" s="2377" t="s">
        <v>8485</v>
      </c>
      <c r="E63" s="2493"/>
      <c r="F63" s="2378">
        <v>9</v>
      </c>
      <c r="G63" s="2379"/>
      <c r="H63" s="3948"/>
      <c r="I63" s="4001"/>
      <c r="J63" s="122"/>
      <c r="K63" s="5144"/>
      <c r="R63" s="4984"/>
      <c r="S63" s="4984"/>
    </row>
    <row r="64" spans="1:19" s="2356" customFormat="1" ht="13.5" customHeight="1">
      <c r="A64" s="2382"/>
      <c r="B64" s="2376"/>
      <c r="C64" s="2374"/>
      <c r="D64" s="2377" t="s">
        <v>8486</v>
      </c>
      <c r="E64" s="2493"/>
      <c r="F64" s="2378">
        <v>8</v>
      </c>
      <c r="G64" s="2379"/>
      <c r="H64" s="3948"/>
      <c r="I64" s="4001"/>
      <c r="J64" s="122"/>
      <c r="K64" s="5144"/>
      <c r="R64" s="4984"/>
      <c r="S64" s="4984"/>
    </row>
    <row r="65" spans="1:122" s="2356" customFormat="1" ht="13.5" customHeight="1">
      <c r="A65" s="2382"/>
      <c r="B65" s="2376"/>
      <c r="C65" s="2374"/>
      <c r="D65" s="2377" t="s">
        <v>8487</v>
      </c>
      <c r="E65" s="2493"/>
      <c r="F65" s="2378">
        <v>8</v>
      </c>
      <c r="G65" s="2379"/>
      <c r="H65" s="3948"/>
      <c r="I65" s="4001"/>
      <c r="J65" s="122"/>
      <c r="K65" s="5144"/>
      <c r="R65" s="4984"/>
      <c r="S65" s="4984"/>
    </row>
    <row r="66" spans="1:122" ht="40.5" customHeight="1">
      <c r="A66" s="2382"/>
      <c r="B66" s="2374"/>
      <c r="C66" s="2374"/>
      <c r="D66" s="2309" t="s">
        <v>8488</v>
      </c>
      <c r="E66" s="2374"/>
      <c r="F66" s="2511"/>
      <c r="G66" s="2379"/>
      <c r="H66" s="3948"/>
      <c r="I66" s="4001"/>
      <c r="J66" s="2688"/>
      <c r="K66" s="5145"/>
      <c r="L66" s="5146"/>
      <c r="M66" s="5145"/>
      <c r="V66" s="5147"/>
    </row>
    <row r="67" spans="1:122" s="2356" customFormat="1" ht="13.5" customHeight="1">
      <c r="A67" s="2689">
        <v>10</v>
      </c>
      <c r="B67" s="2690" t="s">
        <v>8439</v>
      </c>
      <c r="C67" s="2690" t="s">
        <v>8489</v>
      </c>
      <c r="D67" s="2691" t="s">
        <v>8490</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8491</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8492</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8439</v>
      </c>
      <c r="C70" s="2706" t="s">
        <v>8493</v>
      </c>
      <c r="D70" s="2707" t="s">
        <v>8494</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8495</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8492</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8439</v>
      </c>
      <c r="C73" s="2720" t="s">
        <v>8496</v>
      </c>
      <c r="D73" s="2721" t="s">
        <v>8497</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8498</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8492</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8439</v>
      </c>
      <c r="C76" s="2735" t="s">
        <v>8499</v>
      </c>
      <c r="D76" s="2736" t="s">
        <v>8500</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8501</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8492</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8439</v>
      </c>
      <c r="C79" s="2749" t="s">
        <v>8502</v>
      </c>
      <c r="D79" s="2750" t="s">
        <v>8503</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8504</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8492</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8439</v>
      </c>
      <c r="C82" s="2763" t="s">
        <v>8505</v>
      </c>
      <c r="D82" s="2764" t="s">
        <v>8506</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8507</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8492</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8439</v>
      </c>
      <c r="C85" s="2777" t="s">
        <v>8508</v>
      </c>
      <c r="D85" s="2778" t="s">
        <v>8509</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8510</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8492</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8439</v>
      </c>
      <c r="C88" s="2791" t="s">
        <v>8511</v>
      </c>
      <c r="D88" s="2792" t="s">
        <v>8512</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8513</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8492</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8439</v>
      </c>
      <c r="C91" s="2805" t="s">
        <v>8514</v>
      </c>
      <c r="D91" s="2806" t="s">
        <v>8515</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8516</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8492</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8439</v>
      </c>
      <c r="C94" s="2819" t="s">
        <v>8517</v>
      </c>
      <c r="D94" s="2820" t="s">
        <v>8518</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8519</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8492</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8439</v>
      </c>
      <c r="C97" s="2833" t="s">
        <v>8520</v>
      </c>
      <c r="D97" s="2834" t="s">
        <v>8521</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8522</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8492</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8439</v>
      </c>
      <c r="C100" s="2847" t="s">
        <v>8523</v>
      </c>
      <c r="D100" s="2848" t="s">
        <v>8524</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8525</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8492</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8439</v>
      </c>
      <c r="C103" s="2862" t="s">
        <v>8526</v>
      </c>
      <c r="D103" s="2863" t="s">
        <v>8527</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8528</v>
      </c>
      <c r="E104" s="2869"/>
      <c r="F104" s="2870">
        <v>1</v>
      </c>
      <c r="G104" s="2857"/>
      <c r="H104" s="3971"/>
      <c r="I104" s="4024"/>
      <c r="J104" s="2871"/>
      <c r="K104" s="2867"/>
      <c r="M104" s="5150"/>
      <c r="U104" s="4984"/>
    </row>
    <row r="105" spans="1:122" s="2394" customFormat="1" ht="27" customHeight="1">
      <c r="A105" s="2852"/>
      <c r="B105" s="2853"/>
      <c r="C105" s="2872"/>
      <c r="D105" s="2854" t="s">
        <v>8529</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8530</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8531</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8439</v>
      </c>
      <c r="C108" s="2888" t="s">
        <v>8532</v>
      </c>
      <c r="D108" s="2889" t="s">
        <v>8533</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8534</v>
      </c>
      <c r="E109" s="2893"/>
      <c r="F109" s="2894">
        <v>1</v>
      </c>
      <c r="G109" s="2885"/>
      <c r="H109" s="3974"/>
      <c r="I109" s="4027"/>
      <c r="J109" s="2895"/>
      <c r="K109" s="2867"/>
      <c r="L109" s="5156"/>
      <c r="M109" s="5150"/>
      <c r="U109" s="4984"/>
    </row>
    <row r="110" spans="1:122" s="2394" customFormat="1" ht="13.5" customHeight="1">
      <c r="A110" s="2880"/>
      <c r="B110" s="2881"/>
      <c r="C110" s="2896"/>
      <c r="D110" s="2882" t="s">
        <v>8535</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8531</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8439</v>
      </c>
      <c r="C112" s="2888" t="s">
        <v>8536</v>
      </c>
      <c r="D112" s="2889" t="s">
        <v>8537</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8538</v>
      </c>
      <c r="E113" s="2893"/>
      <c r="F113" s="2894">
        <v>1</v>
      </c>
      <c r="G113" s="2885"/>
      <c r="H113" s="3974"/>
      <c r="I113" s="4027"/>
      <c r="J113" s="2895"/>
      <c r="K113" s="2867"/>
      <c r="L113" s="5156"/>
      <c r="M113" s="5150"/>
      <c r="U113" s="4984"/>
    </row>
    <row r="114" spans="1:122" s="2394" customFormat="1" ht="13.5" customHeight="1">
      <c r="A114" s="2880"/>
      <c r="B114" s="2881"/>
      <c r="C114" s="2896"/>
      <c r="D114" s="2882" t="s">
        <v>8539</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8531</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8439</v>
      </c>
      <c r="C116" s="2888" t="s">
        <v>8540</v>
      </c>
      <c r="D116" s="2889" t="s">
        <v>8541</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8542</v>
      </c>
      <c r="E117" s="2893"/>
      <c r="F117" s="2894">
        <v>1</v>
      </c>
      <c r="G117" s="2885"/>
      <c r="H117" s="3974"/>
      <c r="I117" s="4027"/>
      <c r="J117" s="2895"/>
      <c r="K117" s="2899"/>
      <c r="L117" s="5149"/>
      <c r="M117" s="5150"/>
      <c r="U117" s="4984"/>
    </row>
    <row r="118" spans="1:122" s="2393" customFormat="1" ht="13.5" customHeight="1">
      <c r="A118" s="2880"/>
      <c r="B118" s="2881"/>
      <c r="C118" s="2896"/>
      <c r="D118" s="2882" t="s">
        <v>8543</v>
      </c>
      <c r="E118" s="2881"/>
      <c r="F118" s="2883"/>
      <c r="G118" s="2897"/>
      <c r="H118" s="3974"/>
      <c r="I118" s="4027"/>
      <c r="J118" s="2895"/>
      <c r="K118" s="2873"/>
      <c r="L118" s="2702"/>
      <c r="R118" s="5151"/>
    </row>
    <row r="119" spans="1:122" s="2394" customFormat="1" ht="27" customHeight="1">
      <c r="A119" s="2880"/>
      <c r="B119" s="2881"/>
      <c r="C119" s="2881"/>
      <c r="D119" s="2882" t="s">
        <v>8531</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8439</v>
      </c>
      <c r="C120" s="2888" t="s">
        <v>8544</v>
      </c>
      <c r="D120" s="2889" t="s">
        <v>8545</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8546</v>
      </c>
      <c r="E121" s="2893"/>
      <c r="F121" s="2894">
        <v>1</v>
      </c>
      <c r="G121" s="2885"/>
      <c r="H121" s="3974"/>
      <c r="I121" s="4027"/>
      <c r="J121" s="2895"/>
      <c r="K121" s="2867"/>
      <c r="M121" s="5150"/>
      <c r="U121" s="4984"/>
    </row>
    <row r="122" spans="1:122" s="2394" customFormat="1" ht="13.5" customHeight="1">
      <c r="A122" s="2880"/>
      <c r="B122" s="2881"/>
      <c r="C122" s="2896"/>
      <c r="D122" s="2882" t="s">
        <v>8547</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8548</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8439</v>
      </c>
      <c r="C124" s="2888" t="s">
        <v>8549</v>
      </c>
      <c r="D124" s="2889" t="s">
        <v>8550</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8551</v>
      </c>
      <c r="E125" s="3695"/>
      <c r="F125" s="3697">
        <v>1</v>
      </c>
      <c r="G125" s="3698"/>
      <c r="H125" s="3862"/>
      <c r="I125" s="4030"/>
      <c r="J125" s="3332"/>
      <c r="K125" s="2873"/>
      <c r="L125" s="5156"/>
      <c r="M125" s="5150"/>
      <c r="U125" s="4984"/>
    </row>
    <row r="126" spans="1:122" s="2394" customFormat="1" ht="27" customHeight="1">
      <c r="A126" s="3699"/>
      <c r="B126" s="3700"/>
      <c r="C126" s="3701"/>
      <c r="D126" s="3696" t="s">
        <v>8552</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8531</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8439</v>
      </c>
      <c r="C128" s="3695" t="s">
        <v>8553</v>
      </c>
      <c r="D128" s="3695" t="s">
        <v>8554</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8555</v>
      </c>
      <c r="E129" s="3695"/>
      <c r="F129" s="3697">
        <v>1</v>
      </c>
      <c r="G129" s="3698"/>
      <c r="H129" s="3862"/>
      <c r="I129" s="4030"/>
      <c r="J129" s="3332"/>
      <c r="K129" s="2873"/>
      <c r="L129" s="5156"/>
      <c r="M129" s="5150"/>
      <c r="U129" s="4984"/>
    </row>
    <row r="130" spans="1:122" s="2394" customFormat="1" ht="27" customHeight="1">
      <c r="A130" s="3699"/>
      <c r="B130" s="3700"/>
      <c r="C130" s="3701"/>
      <c r="D130" s="3696" t="s">
        <v>8552</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8531</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8439</v>
      </c>
      <c r="C132" s="3695" t="s">
        <v>8556</v>
      </c>
      <c r="D132" s="3695" t="s">
        <v>8557</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8558</v>
      </c>
      <c r="E133" s="3695"/>
      <c r="F133" s="3697">
        <v>1</v>
      </c>
      <c r="G133" s="3698"/>
      <c r="H133" s="3862"/>
      <c r="I133" s="4030"/>
      <c r="J133" s="3332"/>
      <c r="K133" s="2873"/>
      <c r="L133" s="5156"/>
      <c r="M133" s="5150"/>
      <c r="U133" s="4984"/>
    </row>
    <row r="134" spans="1:122" s="2394" customFormat="1" ht="13.5" customHeight="1">
      <c r="A134" s="3699"/>
      <c r="B134" s="3700"/>
      <c r="C134" s="3701"/>
      <c r="D134" s="3696" t="s">
        <v>8559</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8531</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8439</v>
      </c>
      <c r="C136" s="3695" t="s">
        <v>8560</v>
      </c>
      <c r="D136" s="3695" t="s">
        <v>8561</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8562</v>
      </c>
      <c r="E137" s="3695"/>
      <c r="F137" s="3697">
        <v>1</v>
      </c>
      <c r="G137" s="3698"/>
      <c r="H137" s="3862"/>
      <c r="I137" s="4030"/>
      <c r="J137" s="3332"/>
      <c r="K137" s="2873"/>
      <c r="L137" s="4859"/>
      <c r="M137" s="5150"/>
      <c r="U137" s="4984"/>
    </row>
    <row r="138" spans="1:122" s="2394" customFormat="1" ht="13.5" customHeight="1">
      <c r="A138" s="3699"/>
      <c r="B138" s="3700"/>
      <c r="C138" s="3701"/>
      <c r="D138" s="3696" t="s">
        <v>8563</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8531</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8439</v>
      </c>
      <c r="C140" s="3695" t="s">
        <v>8564</v>
      </c>
      <c r="D140" s="3695" t="s">
        <v>8565</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8566</v>
      </c>
      <c r="E141" s="3695"/>
      <c r="F141" s="3697">
        <v>1</v>
      </c>
      <c r="G141" s="3698"/>
      <c r="H141" s="3862"/>
      <c r="I141" s="4030"/>
      <c r="J141" s="3332"/>
      <c r="K141" s="2873"/>
      <c r="L141" s="5149"/>
      <c r="M141" s="5150"/>
      <c r="U141" s="4984"/>
    </row>
    <row r="142" spans="1:122" s="2394" customFormat="1" ht="13.5" customHeight="1">
      <c r="A142" s="3699"/>
      <c r="B142" s="3700"/>
      <c r="C142" s="3701"/>
      <c r="D142" s="3696" t="s">
        <v>8567</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8531</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8439</v>
      </c>
      <c r="C144" s="3695" t="s">
        <v>8568</v>
      </c>
      <c r="D144" s="3695" t="s">
        <v>8569</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8570</v>
      </c>
      <c r="E145" s="3695"/>
      <c r="F145" s="3697">
        <v>1</v>
      </c>
      <c r="G145" s="3698"/>
      <c r="H145" s="3862"/>
      <c r="I145" s="4030"/>
      <c r="J145" s="3332"/>
      <c r="K145" s="3692"/>
      <c r="L145" s="5149"/>
      <c r="M145" s="5150"/>
      <c r="U145" s="4984"/>
    </row>
    <row r="146" spans="1:122" s="2394" customFormat="1" ht="13.5" customHeight="1">
      <c r="A146" s="3699"/>
      <c r="B146" s="3700"/>
      <c r="C146" s="3701"/>
      <c r="D146" s="3696" t="s">
        <v>8571</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8572</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8573</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8574</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8575</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8439</v>
      </c>
      <c r="C151" s="3330">
        <v>998731201</v>
      </c>
      <c r="D151" s="3330" t="s">
        <v>8576</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8577</v>
      </c>
      <c r="D152" s="3330" t="s">
        <v>8578</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8579</v>
      </c>
      <c r="E153" s="3343"/>
      <c r="F153" s="3202">
        <v>15</v>
      </c>
      <c r="G153" s="3095"/>
      <c r="H153" s="3977"/>
      <c r="I153" s="4031"/>
      <c r="J153" s="3096"/>
      <c r="K153" s="1290"/>
      <c r="V153" s="1292"/>
      <c r="X153" s="1292"/>
    </row>
    <row r="154" spans="1:122" s="1291" customFormat="1" ht="27" customHeight="1">
      <c r="A154" s="3090"/>
      <c r="B154" s="3091"/>
      <c r="C154" s="3092"/>
      <c r="D154" s="3710" t="s">
        <v>8580</v>
      </c>
      <c r="E154" s="3343"/>
      <c r="F154" s="3202"/>
      <c r="G154" s="3095"/>
      <c r="H154" s="3977"/>
      <c r="I154" s="4031"/>
      <c r="J154" s="3096"/>
      <c r="K154" s="1290"/>
      <c r="V154" s="1292"/>
      <c r="X154" s="1292"/>
    </row>
    <row r="155" spans="1:122" s="120" customFormat="1" ht="13.5" customHeight="1">
      <c r="A155" s="3329"/>
      <c r="B155" s="3330"/>
      <c r="C155" s="3711">
        <v>733</v>
      </c>
      <c r="D155" s="3711" t="s">
        <v>8581</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8582</v>
      </c>
      <c r="D156" s="3330" t="s">
        <v>8583</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8584</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8582</v>
      </c>
      <c r="D158" s="3696" t="s">
        <v>8585</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8586</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6561</v>
      </c>
      <c r="D160" s="3723" t="s">
        <v>8587</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8588</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8589</v>
      </c>
      <c r="D163" s="3330" t="s">
        <v>8590</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8584</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8589</v>
      </c>
      <c r="D165" s="3696" t="s">
        <v>8591</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8592</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8593</v>
      </c>
      <c r="D167" s="3723" t="s">
        <v>8594</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8588</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8595</v>
      </c>
      <c r="D170" s="3330" t="s">
        <v>8596</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8584</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8595</v>
      </c>
      <c r="D172" s="3696" t="s">
        <v>8597</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8598</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8593</v>
      </c>
      <c r="D174" s="3723" t="s">
        <v>8599</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8588</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8600</v>
      </c>
      <c r="D177" s="3330" t="s">
        <v>8601</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8584</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8600</v>
      </c>
      <c r="D179" s="3696" t="s">
        <v>8602</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8603</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6608</v>
      </c>
      <c r="D181" s="3723" t="s">
        <v>8604</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8588</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8605</v>
      </c>
      <c r="D184" s="3330" t="s">
        <v>8606</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8584</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8605</v>
      </c>
      <c r="D186" s="3696" t="s">
        <v>8607</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8608</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6626</v>
      </c>
      <c r="D188" s="3723" t="s">
        <v>8609</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8588</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8610</v>
      </c>
      <c r="D191" s="3330" t="s">
        <v>8611</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8584</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8610</v>
      </c>
      <c r="D193" s="3696" t="s">
        <v>8612</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8613</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6641</v>
      </c>
      <c r="D195" s="3723" t="s">
        <v>8614</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8588</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8615</v>
      </c>
      <c r="D198" s="3330" t="s">
        <v>8616</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8584</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8615</v>
      </c>
      <c r="D200" s="3696" t="s">
        <v>8617</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8618</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6653</v>
      </c>
      <c r="D202" s="3723" t="s">
        <v>8619</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8588</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8620</v>
      </c>
      <c r="D205" s="3330" t="s">
        <v>8621</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8584</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8620</v>
      </c>
      <c r="D207" s="3696" t="s">
        <v>8622</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8623</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8624</v>
      </c>
      <c r="D209" s="3723" t="s">
        <v>10426</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8588</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8625</v>
      </c>
      <c r="D212" s="3330" t="s">
        <v>8626</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8584</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8625</v>
      </c>
      <c r="D214" s="3696" t="s">
        <v>8627</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8628</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8629</v>
      </c>
      <c r="D216" s="3723" t="s">
        <v>10427</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8588</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8630</v>
      </c>
      <c r="D219" s="3330" t="s">
        <v>8631</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8584</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8630</v>
      </c>
      <c r="D221" s="3696" t="s">
        <v>8632</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8633</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8634</v>
      </c>
      <c r="D223" s="3723" t="s">
        <v>8635</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8588</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8636</v>
      </c>
      <c r="D226" s="3695" t="s">
        <v>8637</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8638</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8639</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8640</v>
      </c>
      <c r="E229" s="3727"/>
      <c r="F229" s="3702"/>
      <c r="G229" s="3698"/>
      <c r="H229" s="3862"/>
      <c r="I229" s="4030"/>
      <c r="J229" s="3726"/>
      <c r="K229" s="2905"/>
      <c r="L229" s="5169"/>
      <c r="S229" s="4884"/>
    </row>
    <row r="230" spans="1:90" s="2356" customFormat="1" ht="13.5" customHeight="1">
      <c r="A230" s="3694"/>
      <c r="B230" s="3695"/>
      <c r="C230" s="3695"/>
      <c r="D230" s="3696" t="s">
        <v>8641</v>
      </c>
      <c r="E230" s="3727"/>
      <c r="F230" s="3702">
        <f>(367.5)</f>
        <v>367.5</v>
      </c>
      <c r="G230" s="3698"/>
      <c r="H230" s="3862"/>
      <c r="I230" s="4030"/>
      <c r="J230" s="3726"/>
      <c r="K230" s="2905"/>
      <c r="L230" s="5169"/>
      <c r="S230" s="4884"/>
    </row>
    <row r="231" spans="1:90" s="2356" customFormat="1" ht="13.5" customHeight="1">
      <c r="A231" s="3694"/>
      <c r="B231" s="3695"/>
      <c r="C231" s="3695"/>
      <c r="D231" s="3696" t="s">
        <v>8642</v>
      </c>
      <c r="E231" s="3727"/>
      <c r="F231" s="3702">
        <f>(10.5)</f>
        <v>10.5</v>
      </c>
      <c r="G231" s="3698"/>
      <c r="H231" s="3862"/>
      <c r="I231" s="4030"/>
      <c r="J231" s="3726"/>
      <c r="K231" s="2905"/>
      <c r="L231" s="5169"/>
      <c r="S231" s="4884"/>
    </row>
    <row r="232" spans="1:90" s="2356" customFormat="1" ht="13.5" customHeight="1">
      <c r="A232" s="3694"/>
      <c r="B232" s="3695"/>
      <c r="C232" s="3695"/>
      <c r="D232" s="3696" t="s">
        <v>8643</v>
      </c>
      <c r="E232" s="3727"/>
      <c r="F232" s="3702">
        <f>(84)</f>
        <v>84</v>
      </c>
      <c r="G232" s="3698"/>
      <c r="H232" s="3862"/>
      <c r="I232" s="4030"/>
      <c r="J232" s="3726"/>
      <c r="K232" s="2905"/>
      <c r="L232" s="5169"/>
      <c r="S232" s="4884"/>
    </row>
    <row r="233" spans="1:90" s="2356" customFormat="1" ht="13.5" customHeight="1">
      <c r="A233" s="3694"/>
      <c r="B233" s="3695"/>
      <c r="C233" s="3695"/>
      <c r="D233" s="3696" t="s">
        <v>8644</v>
      </c>
      <c r="E233" s="3727"/>
      <c r="F233" s="3702">
        <f>(52.5)</f>
        <v>52.5</v>
      </c>
      <c r="G233" s="3698"/>
      <c r="H233" s="3862"/>
      <c r="I233" s="4030"/>
      <c r="J233" s="3726"/>
      <c r="K233" s="2905"/>
      <c r="L233" s="5169"/>
      <c r="S233" s="4884"/>
    </row>
    <row r="234" spans="1:90" s="2356" customFormat="1" ht="13.5" customHeight="1">
      <c r="A234" s="3694"/>
      <c r="B234" s="3695"/>
      <c r="C234" s="3695"/>
      <c r="D234" s="3696" t="s">
        <v>8645</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8646</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8640</v>
      </c>
      <c r="E236" s="3727"/>
      <c r="F236" s="3702"/>
      <c r="G236" s="3698"/>
      <c r="H236" s="3862"/>
      <c r="I236" s="4030"/>
      <c r="J236" s="3726"/>
      <c r="K236" s="2905"/>
      <c r="L236" s="5169"/>
      <c r="S236" s="4884"/>
    </row>
    <row r="237" spans="1:90" s="2356" customFormat="1" ht="13.5" customHeight="1">
      <c r="A237" s="3694"/>
      <c r="B237" s="3695"/>
      <c r="C237" s="3695"/>
      <c r="D237" s="3696" t="s">
        <v>8647</v>
      </c>
      <c r="E237" s="3727"/>
      <c r="F237" s="3702">
        <f>(178.5)</f>
        <v>178.5</v>
      </c>
      <c r="G237" s="3698"/>
      <c r="H237" s="3862"/>
      <c r="I237" s="4030"/>
      <c r="J237" s="3726"/>
      <c r="K237" s="2905"/>
      <c r="L237" s="5169"/>
      <c r="S237" s="4884"/>
    </row>
    <row r="238" spans="1:90" s="2356" customFormat="1" ht="13.5" customHeight="1">
      <c r="A238" s="3694"/>
      <c r="B238" s="3695"/>
      <c r="C238" s="3695"/>
      <c r="D238" s="3696" t="s">
        <v>8648</v>
      </c>
      <c r="E238" s="3727"/>
      <c r="F238" s="3702">
        <f>(52.5)</f>
        <v>52.5</v>
      </c>
      <c r="G238" s="3698"/>
      <c r="H238" s="3862"/>
      <c r="I238" s="4030"/>
      <c r="J238" s="3726"/>
      <c r="K238" s="2905"/>
      <c r="L238" s="5169"/>
      <c r="S238" s="4884"/>
    </row>
    <row r="239" spans="1:90" s="2356" customFormat="1" ht="13.5" customHeight="1">
      <c r="A239" s="3694"/>
      <c r="B239" s="3695"/>
      <c r="C239" s="3695"/>
      <c r="D239" s="3696" t="s">
        <v>8649</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8650</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8651</v>
      </c>
      <c r="E241" s="3727"/>
      <c r="F241" s="3702">
        <f>(63)</f>
        <v>63</v>
      </c>
      <c r="G241" s="3698"/>
      <c r="H241" s="3862"/>
      <c r="I241" s="4030"/>
      <c r="J241" s="3726"/>
      <c r="K241" s="2905"/>
      <c r="L241" s="5169"/>
      <c r="S241" s="4884"/>
    </row>
    <row r="242" spans="1:90" s="2356" customFormat="1" ht="13.5" customHeight="1">
      <c r="A242" s="3694"/>
      <c r="B242" s="3695"/>
      <c r="C242" s="3695"/>
      <c r="D242" s="3696" t="s">
        <v>8652</v>
      </c>
      <c r="E242" s="3727"/>
      <c r="F242" s="3702">
        <f>(21)</f>
        <v>21</v>
      </c>
      <c r="G242" s="3698"/>
      <c r="H242" s="3862"/>
      <c r="I242" s="4030"/>
      <c r="J242" s="3726"/>
      <c r="K242" s="2905"/>
      <c r="L242" s="5169"/>
      <c r="S242" s="4884"/>
    </row>
    <row r="243" spans="1:90" s="120" customFormat="1" ht="13.5" customHeight="1">
      <c r="A243" s="3329">
        <v>49</v>
      </c>
      <c r="B243" s="3330" t="s">
        <v>8439</v>
      </c>
      <c r="C243" s="3330" t="s">
        <v>8653</v>
      </c>
      <c r="D243" s="3330" t="s">
        <v>8654</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8655</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8656</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8657</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8658</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8659</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10660</v>
      </c>
      <c r="E249" s="3727"/>
      <c r="F249" s="3702"/>
      <c r="G249" s="3698"/>
      <c r="H249" s="3862"/>
      <c r="I249" s="4030"/>
      <c r="J249" s="4505"/>
      <c r="K249" s="5172"/>
      <c r="L249" s="5169"/>
      <c r="S249" s="4884"/>
    </row>
    <row r="250" spans="1:90" s="2356" customFormat="1" ht="13.5" customHeight="1">
      <c r="A250" s="3694">
        <v>50</v>
      </c>
      <c r="B250" s="3695">
        <v>731</v>
      </c>
      <c r="C250" s="3695" t="s">
        <v>8660</v>
      </c>
      <c r="D250" s="3695" t="s">
        <v>8661</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8662</v>
      </c>
      <c r="E251" s="3727"/>
      <c r="F251" s="3702">
        <f>(2+2+2+2)</f>
        <v>8</v>
      </c>
      <c r="G251" s="3698"/>
      <c r="H251" s="3862"/>
      <c r="I251" s="4030"/>
      <c r="J251" s="3726"/>
      <c r="K251" s="2905"/>
      <c r="L251" s="5169"/>
      <c r="S251" s="4884"/>
    </row>
    <row r="252" spans="1:90" s="2356" customFormat="1" ht="13.5" customHeight="1">
      <c r="A252" s="3694"/>
      <c r="B252" s="3695"/>
      <c r="C252" s="3695"/>
      <c r="D252" s="3696" t="s">
        <v>8663</v>
      </c>
      <c r="E252" s="3727"/>
      <c r="F252" s="3702">
        <f>2</f>
        <v>2</v>
      </c>
      <c r="G252" s="3698"/>
      <c r="H252" s="3862"/>
      <c r="I252" s="4030"/>
      <c r="J252" s="3726"/>
      <c r="K252" s="2905"/>
      <c r="L252" s="5169"/>
      <c r="S252" s="4884"/>
    </row>
    <row r="253" spans="1:90" s="2356" customFormat="1" ht="27" customHeight="1">
      <c r="A253" s="3694"/>
      <c r="B253" s="3695"/>
      <c r="C253" s="3695"/>
      <c r="D253" s="3696" t="s">
        <v>8664</v>
      </c>
      <c r="E253" s="3727"/>
      <c r="F253" s="3702"/>
      <c r="G253" s="3698"/>
      <c r="H253" s="3862"/>
      <c r="I253" s="4030"/>
      <c r="J253" s="3726"/>
      <c r="K253" s="2905"/>
      <c r="L253" s="5169"/>
      <c r="S253" s="4884"/>
    </row>
    <row r="254" spans="1:90" s="2356" customFormat="1" ht="13.5" customHeight="1">
      <c r="A254" s="3694">
        <v>51</v>
      </c>
      <c r="B254" s="3695">
        <v>731</v>
      </c>
      <c r="C254" s="3695" t="s">
        <v>8665</v>
      </c>
      <c r="D254" s="3695" t="s">
        <v>6527</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10665</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10666</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10667</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8668</v>
      </c>
      <c r="D258" s="3536" t="s">
        <v>6525</v>
      </c>
      <c r="E258" s="3536" t="s">
        <v>23</v>
      </c>
      <c r="F258" s="3541">
        <f>ROUND(SUM(F259),3)</f>
        <v>1</v>
      </c>
      <c r="G258" s="3528"/>
      <c r="H258" s="3861">
        <f>ROUND(F258*G258,2)</f>
        <v>0</v>
      </c>
      <c r="I258" s="4028"/>
      <c r="J258" s="3529" t="s">
        <v>60</v>
      </c>
    </row>
    <row r="259" spans="1:122" s="2595" customFormat="1" ht="27" customHeight="1">
      <c r="A259" s="3567"/>
      <c r="B259" s="3558"/>
      <c r="C259" s="3558"/>
      <c r="D259" s="3696" t="s">
        <v>10682</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10476</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10675</v>
      </c>
      <c r="E261" s="4374"/>
      <c r="F261" s="4375"/>
      <c r="G261" s="4376"/>
      <c r="H261" s="4370"/>
      <c r="I261" s="3849"/>
      <c r="J261" s="3726"/>
      <c r="K261" s="4855"/>
      <c r="L261" s="4855"/>
    </row>
    <row r="262" spans="1:122" customFormat="1" ht="13.5" customHeight="1">
      <c r="A262" s="3531"/>
      <c r="B262" s="3532"/>
      <c r="C262" s="3532"/>
      <c r="D262" s="3548" t="s">
        <v>10661</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10694</v>
      </c>
      <c r="D264" s="3695" t="s">
        <v>6531</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8666</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8667</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10659</v>
      </c>
      <c r="E267" s="3695"/>
      <c r="F267" s="4484"/>
      <c r="G267" s="3709"/>
      <c r="H267" s="3816"/>
      <c r="I267" s="3849"/>
      <c r="J267" s="3726"/>
      <c r="K267" s="4596"/>
      <c r="R267" s="4989"/>
    </row>
    <row r="268" spans="1:122" s="2303" customFormat="1" ht="40.5" customHeight="1">
      <c r="A268" s="3750"/>
      <c r="B268" s="3695"/>
      <c r="C268" s="3695"/>
      <c r="D268" s="4483" t="s">
        <v>10467</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10460</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10695</v>
      </c>
      <c r="D270" s="3536" t="s">
        <v>6535</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6536</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6537</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10662</v>
      </c>
      <c r="E273" s="4374"/>
      <c r="F273" s="4375"/>
      <c r="G273" s="4376"/>
      <c r="H273" s="4370"/>
      <c r="I273" s="3849"/>
      <c r="J273" s="3726"/>
      <c r="K273" s="4855"/>
      <c r="L273" s="4855"/>
    </row>
    <row r="274" spans="1:24" s="4367" customFormat="1" ht="40.700000000000003" customHeight="1">
      <c r="A274" s="4372"/>
      <c r="B274" s="4373"/>
      <c r="C274" s="4373"/>
      <c r="D274" s="4483" t="s">
        <v>10664</v>
      </c>
      <c r="E274" s="4374"/>
      <c r="F274" s="4375"/>
      <c r="G274" s="4376"/>
      <c r="H274" s="4370"/>
      <c r="I274" s="3849"/>
      <c r="J274" s="3726"/>
      <c r="K274" s="4855"/>
      <c r="L274" s="4855"/>
    </row>
    <row r="275" spans="1:24" s="4367" customFormat="1" ht="27" customHeight="1">
      <c r="A275" s="4372"/>
      <c r="B275" s="4373"/>
      <c r="C275" s="4373"/>
      <c r="D275" s="3548" t="s">
        <v>10663</v>
      </c>
      <c r="E275" s="4374"/>
      <c r="F275" s="4375"/>
      <c r="G275" s="4376"/>
      <c r="H275" s="4370"/>
      <c r="I275" s="3849"/>
      <c r="J275" s="3726"/>
      <c r="K275" s="4855"/>
      <c r="L275" s="4855"/>
    </row>
    <row r="276" spans="1:24" s="120" customFormat="1" ht="13.5" customHeight="1">
      <c r="A276" s="3329">
        <v>55</v>
      </c>
      <c r="B276" s="3330">
        <v>731</v>
      </c>
      <c r="C276" s="3330">
        <v>998733203</v>
      </c>
      <c r="D276" s="3330" t="s">
        <v>8669</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8577</v>
      </c>
      <c r="D277" s="3330" t="s">
        <v>8578</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8670</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8580</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8671</v>
      </c>
      <c r="D280" s="3711" t="s">
        <v>8672</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8439</v>
      </c>
      <c r="C281" s="3330" t="s">
        <v>8673</v>
      </c>
      <c r="D281" s="3330" t="s">
        <v>8674</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8675</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6694</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8439</v>
      </c>
      <c r="C284" s="3330" t="s">
        <v>8676</v>
      </c>
      <c r="D284" s="3330" t="s">
        <v>8677</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8678</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6694</v>
      </c>
      <c r="E286" s="3343"/>
      <c r="F286" s="3730"/>
      <c r="G286" s="3729"/>
      <c r="H286" s="3863"/>
      <c r="I286" s="4037"/>
      <c r="J286" s="3332"/>
      <c r="K286" s="5177"/>
      <c r="L286" s="5146"/>
    </row>
    <row r="287" spans="1:24" s="120" customFormat="1" ht="13.5" customHeight="1">
      <c r="A287" s="3329">
        <v>59</v>
      </c>
      <c r="B287" s="3330" t="s">
        <v>8439</v>
      </c>
      <c r="C287" s="3330" t="s">
        <v>8679</v>
      </c>
      <c r="D287" s="3330" t="s">
        <v>6691</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8680</v>
      </c>
      <c r="E288" s="3343"/>
      <c r="F288" s="3202">
        <v>12</v>
      </c>
      <c r="G288" s="3095"/>
      <c r="H288" s="3977"/>
      <c r="I288" s="4031"/>
      <c r="J288" s="3096"/>
      <c r="K288" s="5176"/>
      <c r="L288" s="5146"/>
      <c r="V288" s="1292"/>
      <c r="X288" s="1292"/>
    </row>
    <row r="289" spans="1:24" s="120" customFormat="1" ht="27" customHeight="1">
      <c r="A289" s="3329"/>
      <c r="B289" s="3330"/>
      <c r="C289" s="3343"/>
      <c r="D289" s="3343" t="s">
        <v>6694</v>
      </c>
      <c r="E289" s="3343"/>
      <c r="F289" s="3730"/>
      <c r="G289" s="3729"/>
      <c r="H289" s="3863"/>
      <c r="I289" s="4037"/>
      <c r="J289" s="3332"/>
      <c r="K289" s="5177"/>
      <c r="L289" s="5146"/>
    </row>
    <row r="290" spans="1:24" s="120" customFormat="1" ht="13.5" customHeight="1">
      <c r="A290" s="3329">
        <v>60</v>
      </c>
      <c r="B290" s="3330" t="s">
        <v>8439</v>
      </c>
      <c r="C290" s="3330" t="s">
        <v>8681</v>
      </c>
      <c r="D290" s="3330" t="s">
        <v>8682</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8683</v>
      </c>
      <c r="E291" s="3343"/>
      <c r="F291" s="3202">
        <f>(6+4+8+1)</f>
        <v>19</v>
      </c>
      <c r="G291" s="3095"/>
      <c r="H291" s="3977"/>
      <c r="I291" s="4031"/>
      <c r="J291" s="3096"/>
      <c r="K291" s="5176"/>
      <c r="L291" s="5146"/>
      <c r="V291" s="1292"/>
      <c r="X291" s="1292"/>
    </row>
    <row r="292" spans="1:24" s="120" customFormat="1" ht="27" customHeight="1">
      <c r="A292" s="3329"/>
      <c r="B292" s="3330"/>
      <c r="C292" s="3343"/>
      <c r="D292" s="3343" t="s">
        <v>6694</v>
      </c>
      <c r="E292" s="3343"/>
      <c r="F292" s="3730"/>
      <c r="G292" s="3729"/>
      <c r="H292" s="3863"/>
      <c r="I292" s="4037"/>
      <c r="J292" s="3332"/>
      <c r="K292" s="5177"/>
      <c r="L292" s="5146"/>
    </row>
    <row r="293" spans="1:24" s="120" customFormat="1" ht="13.5" customHeight="1">
      <c r="A293" s="3329">
        <v>61</v>
      </c>
      <c r="B293" s="3330" t="s">
        <v>8439</v>
      </c>
      <c r="C293" s="3330" t="s">
        <v>8684</v>
      </c>
      <c r="D293" s="3330" t="s">
        <v>8685</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8686</v>
      </c>
      <c r="E294" s="3343"/>
      <c r="F294" s="3202">
        <f>(4+8)</f>
        <v>12</v>
      </c>
      <c r="G294" s="3095"/>
      <c r="H294" s="3977"/>
      <c r="I294" s="4031"/>
      <c r="J294" s="3096"/>
      <c r="K294" s="5176"/>
      <c r="L294" s="5146"/>
      <c r="V294" s="1292"/>
      <c r="X294" s="1292"/>
    </row>
    <row r="295" spans="1:24" s="120" customFormat="1" ht="27" customHeight="1">
      <c r="A295" s="3329"/>
      <c r="B295" s="3330"/>
      <c r="C295" s="3343"/>
      <c r="D295" s="3343" t="s">
        <v>6694</v>
      </c>
      <c r="E295" s="3343"/>
      <c r="F295" s="3730"/>
      <c r="G295" s="3729"/>
      <c r="H295" s="3863"/>
      <c r="I295" s="4037"/>
      <c r="J295" s="3332"/>
      <c r="K295" s="5177"/>
      <c r="L295" s="5146"/>
    </row>
    <row r="296" spans="1:24" s="120" customFormat="1" ht="13.5" customHeight="1">
      <c r="A296" s="3329">
        <v>62</v>
      </c>
      <c r="B296" s="3330" t="s">
        <v>8439</v>
      </c>
      <c r="C296" s="3330" t="s">
        <v>8687</v>
      </c>
      <c r="D296" s="3330" t="s">
        <v>8688</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8689</v>
      </c>
      <c r="E297" s="3343"/>
      <c r="F297" s="3202">
        <f>(4+6)</f>
        <v>10</v>
      </c>
      <c r="G297" s="3095"/>
      <c r="H297" s="3977"/>
      <c r="I297" s="4031"/>
      <c r="J297" s="3096"/>
      <c r="K297" s="5178"/>
      <c r="V297" s="1292"/>
      <c r="X297" s="1292"/>
    </row>
    <row r="298" spans="1:24" s="120" customFormat="1" ht="27" customHeight="1">
      <c r="A298" s="3329"/>
      <c r="B298" s="3330"/>
      <c r="C298" s="3343"/>
      <c r="D298" s="3343" t="s">
        <v>6694</v>
      </c>
      <c r="E298" s="3343"/>
      <c r="F298" s="3730"/>
      <c r="G298" s="3729"/>
      <c r="H298" s="3863"/>
      <c r="I298" s="4037"/>
      <c r="J298" s="3332"/>
      <c r="K298" s="5177"/>
    </row>
    <row r="299" spans="1:24" s="120" customFormat="1" ht="13.5" customHeight="1">
      <c r="A299" s="3329">
        <v>63</v>
      </c>
      <c r="B299" s="3330" t="s">
        <v>8439</v>
      </c>
      <c r="C299" s="3330" t="s">
        <v>8690</v>
      </c>
      <c r="D299" s="3330" t="s">
        <v>6696</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8691</v>
      </c>
      <c r="E300" s="3343"/>
      <c r="F300" s="3202">
        <v>8</v>
      </c>
      <c r="G300" s="3095"/>
      <c r="H300" s="3977"/>
      <c r="I300" s="4031"/>
      <c r="J300" s="3096"/>
      <c r="K300" s="5178"/>
      <c r="V300" s="1292"/>
      <c r="X300" s="1292"/>
    </row>
    <row r="301" spans="1:24" s="120" customFormat="1" ht="27" customHeight="1">
      <c r="A301" s="3329"/>
      <c r="B301" s="3330"/>
      <c r="C301" s="3343"/>
      <c r="D301" s="3343" t="s">
        <v>6694</v>
      </c>
      <c r="E301" s="3343"/>
      <c r="F301" s="3730"/>
      <c r="G301" s="3729"/>
      <c r="H301" s="3863"/>
      <c r="I301" s="4037"/>
      <c r="J301" s="3332"/>
      <c r="K301" s="5177"/>
    </row>
    <row r="302" spans="1:24" s="120" customFormat="1" ht="13.5" customHeight="1">
      <c r="A302" s="3329">
        <v>64</v>
      </c>
      <c r="B302" s="3330" t="s">
        <v>8439</v>
      </c>
      <c r="C302" s="3330" t="s">
        <v>8692</v>
      </c>
      <c r="D302" s="3330" t="s">
        <v>8693</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8694</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8695</v>
      </c>
      <c r="E304" s="3343"/>
      <c r="F304" s="3730"/>
      <c r="G304" s="3729"/>
      <c r="H304" s="3863"/>
      <c r="I304" s="4037"/>
      <c r="J304" s="3096"/>
      <c r="K304" s="2873"/>
      <c r="L304" s="5179"/>
      <c r="M304" s="233"/>
    </row>
    <row r="305" spans="1:24" s="120" customFormat="1" ht="13.5" customHeight="1">
      <c r="A305" s="3329">
        <v>65</v>
      </c>
      <c r="B305" s="3330" t="s">
        <v>8439</v>
      </c>
      <c r="C305" s="3330" t="s">
        <v>8696</v>
      </c>
      <c r="D305" s="3330" t="s">
        <v>8697</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8698</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8695</v>
      </c>
      <c r="E307" s="3343"/>
      <c r="F307" s="3730"/>
      <c r="G307" s="3729"/>
      <c r="H307" s="3863"/>
      <c r="I307" s="4037"/>
      <c r="J307" s="3096"/>
      <c r="K307" s="5176"/>
      <c r="L307" s="5146"/>
      <c r="N307" s="278"/>
      <c r="Q307" s="278"/>
    </row>
    <row r="308" spans="1:24" s="120" customFormat="1" ht="13.5" customHeight="1">
      <c r="A308" s="3329">
        <v>66</v>
      </c>
      <c r="B308" s="3330" t="s">
        <v>8439</v>
      </c>
      <c r="C308" s="3330" t="s">
        <v>8699</v>
      </c>
      <c r="D308" s="3330" t="s">
        <v>8700</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8701</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8702</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8703</v>
      </c>
      <c r="E311" s="3343"/>
      <c r="F311" s="3202"/>
      <c r="G311" s="3095"/>
      <c r="H311" s="3977"/>
      <c r="I311" s="4031"/>
      <c r="J311" s="3096"/>
      <c r="K311" s="2873"/>
      <c r="L311" s="2931"/>
      <c r="V311" s="1292"/>
      <c r="X311" s="1292"/>
    </row>
    <row r="312" spans="1:24" s="120" customFormat="1" ht="13.5" customHeight="1">
      <c r="A312" s="3329">
        <v>67</v>
      </c>
      <c r="B312" s="3330" t="s">
        <v>8439</v>
      </c>
      <c r="C312" s="3330" t="s">
        <v>8704</v>
      </c>
      <c r="D312" s="3330" t="s">
        <v>8705</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8706</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8703</v>
      </c>
      <c r="E314" s="3343"/>
      <c r="F314" s="3202"/>
      <c r="G314" s="3095"/>
      <c r="H314" s="3977"/>
      <c r="I314" s="4031"/>
      <c r="J314" s="3096"/>
      <c r="K314" s="2873"/>
      <c r="L314" s="2931"/>
      <c r="V314" s="1292"/>
      <c r="X314" s="1292"/>
    </row>
    <row r="315" spans="1:24" s="120" customFormat="1" ht="13.5" customHeight="1">
      <c r="A315" s="3329">
        <v>68</v>
      </c>
      <c r="B315" s="3330" t="s">
        <v>8439</v>
      </c>
      <c r="C315" s="3330" t="s">
        <v>8707</v>
      </c>
      <c r="D315" s="3330" t="s">
        <v>8708</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8709</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6660</v>
      </c>
      <c r="E317" s="3343"/>
      <c r="F317" s="3202"/>
      <c r="G317" s="3095"/>
      <c r="H317" s="3977"/>
      <c r="I317" s="4031"/>
      <c r="J317" s="3096"/>
      <c r="K317" s="2687"/>
      <c r="L317" s="2931"/>
      <c r="R317" s="5183"/>
      <c r="S317" s="5184"/>
      <c r="V317" s="1292"/>
      <c r="X317" s="1292"/>
    </row>
    <row r="318" spans="1:24" s="120" customFormat="1" ht="13.5" customHeight="1">
      <c r="A318" s="3329">
        <v>69</v>
      </c>
      <c r="B318" s="3330" t="s">
        <v>8439</v>
      </c>
      <c r="C318" s="3330" t="s">
        <v>8710</v>
      </c>
      <c r="D318" s="3330" t="s">
        <v>8711</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8712</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6660</v>
      </c>
      <c r="E320" s="3343"/>
      <c r="F320" s="3202"/>
      <c r="G320" s="3095"/>
      <c r="H320" s="3977"/>
      <c r="I320" s="4031"/>
      <c r="J320" s="3096"/>
      <c r="K320" s="2687"/>
      <c r="L320" s="2931"/>
      <c r="R320" s="5183"/>
      <c r="S320" s="5184"/>
      <c r="V320" s="1292"/>
      <c r="X320" s="1292"/>
    </row>
    <row r="321" spans="1:24" s="120" customFormat="1" ht="13.5" customHeight="1">
      <c r="A321" s="3329">
        <v>70</v>
      </c>
      <c r="B321" s="3330" t="s">
        <v>8439</v>
      </c>
      <c r="C321" s="3330" t="s">
        <v>8713</v>
      </c>
      <c r="D321" s="3330" t="s">
        <v>8714</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8715</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6660</v>
      </c>
      <c r="E323" s="3343"/>
      <c r="F323" s="3202"/>
      <c r="G323" s="3095"/>
      <c r="H323" s="3977"/>
      <c r="I323" s="4031"/>
      <c r="J323" s="3096"/>
      <c r="K323" s="2687"/>
      <c r="L323" s="2931"/>
      <c r="R323" s="5183"/>
      <c r="S323" s="5184"/>
      <c r="V323" s="1292"/>
      <c r="X323" s="1292"/>
    </row>
    <row r="324" spans="1:24" s="120" customFormat="1" ht="13.5" customHeight="1">
      <c r="A324" s="3329">
        <v>71</v>
      </c>
      <c r="B324" s="3330" t="s">
        <v>8439</v>
      </c>
      <c r="C324" s="3330" t="s">
        <v>8716</v>
      </c>
      <c r="D324" s="3330" t="s">
        <v>8717</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8718</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6660</v>
      </c>
      <c r="E326" s="3343"/>
      <c r="F326" s="3202"/>
      <c r="G326" s="3095"/>
      <c r="H326" s="3977"/>
      <c r="I326" s="4031"/>
      <c r="J326" s="3096"/>
      <c r="K326" s="2687"/>
      <c r="L326" s="2931"/>
      <c r="R326" s="5183"/>
      <c r="S326" s="5184"/>
      <c r="V326" s="1292"/>
      <c r="X326" s="1292"/>
    </row>
    <row r="327" spans="1:24" s="120" customFormat="1" ht="13.5" customHeight="1">
      <c r="A327" s="3329">
        <v>72</v>
      </c>
      <c r="B327" s="3330" t="s">
        <v>8439</v>
      </c>
      <c r="C327" s="3330" t="s">
        <v>8719</v>
      </c>
      <c r="D327" s="3330" t="s">
        <v>8720</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8721</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6660</v>
      </c>
      <c r="E329" s="3343"/>
      <c r="F329" s="3202"/>
      <c r="G329" s="3095"/>
      <c r="H329" s="3977"/>
      <c r="I329" s="4031"/>
      <c r="J329" s="3096"/>
      <c r="K329" s="2687"/>
      <c r="L329" s="2931"/>
      <c r="R329" s="5183"/>
      <c r="S329" s="5184"/>
      <c r="V329" s="1292"/>
      <c r="X329" s="1292"/>
    </row>
    <row r="330" spans="1:24" s="120" customFormat="1" ht="13.5" customHeight="1">
      <c r="A330" s="3329">
        <v>73</v>
      </c>
      <c r="B330" s="3330" t="s">
        <v>8439</v>
      </c>
      <c r="C330" s="3330" t="s">
        <v>8722</v>
      </c>
      <c r="D330" s="3330" t="s">
        <v>8723</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8724</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6660</v>
      </c>
      <c r="E332" s="3343"/>
      <c r="F332" s="3202"/>
      <c r="G332" s="3095"/>
      <c r="H332" s="3977"/>
      <c r="I332" s="4031"/>
      <c r="J332" s="3096"/>
      <c r="K332" s="2687"/>
      <c r="L332" s="2931"/>
      <c r="R332" s="5183"/>
      <c r="S332" s="5184"/>
      <c r="V332" s="1292"/>
      <c r="X332" s="1292"/>
    </row>
    <row r="333" spans="1:24" s="120" customFormat="1" ht="13.5" customHeight="1">
      <c r="A333" s="3329">
        <v>74</v>
      </c>
      <c r="B333" s="3330" t="s">
        <v>8439</v>
      </c>
      <c r="C333" s="3330" t="s">
        <v>8725</v>
      </c>
      <c r="D333" s="3330" t="s">
        <v>8726</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8727</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8728</v>
      </c>
      <c r="E335" s="3343"/>
      <c r="F335" s="3202"/>
      <c r="G335" s="3095"/>
      <c r="H335" s="3977"/>
      <c r="I335" s="4031"/>
      <c r="J335" s="3096"/>
      <c r="K335" s="2687"/>
      <c r="L335" s="2701"/>
      <c r="R335" s="5183"/>
      <c r="S335" s="5184"/>
      <c r="V335" s="1292"/>
      <c r="X335" s="1292"/>
    </row>
    <row r="336" spans="1:24" s="120" customFormat="1" ht="13.5" customHeight="1">
      <c r="A336" s="3329">
        <v>75</v>
      </c>
      <c r="B336" s="3330" t="s">
        <v>8439</v>
      </c>
      <c r="C336" s="3330" t="s">
        <v>8729</v>
      </c>
      <c r="D336" s="3330" t="s">
        <v>8730</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8731</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8732</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8439</v>
      </c>
      <c r="C339" s="3330" t="s">
        <v>8733</v>
      </c>
      <c r="D339" s="3330" t="s">
        <v>8734</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8735</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8732</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8439</v>
      </c>
      <c r="C342" s="3330" t="s">
        <v>8736</v>
      </c>
      <c r="D342" s="3330" t="s">
        <v>8737</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8738</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8732</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8439</v>
      </c>
      <c r="C345" s="3330" t="s">
        <v>8739</v>
      </c>
      <c r="D345" s="3330" t="s">
        <v>8740</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8741</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8732</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8439</v>
      </c>
      <c r="C348" s="3330" t="s">
        <v>8742</v>
      </c>
      <c r="D348" s="3330" t="s">
        <v>8743</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8744</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8732</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8439</v>
      </c>
      <c r="C351" s="3330" t="s">
        <v>8745</v>
      </c>
      <c r="D351" s="3330" t="s">
        <v>8746</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8747</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8748</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8439</v>
      </c>
      <c r="C354" s="3330" t="s">
        <v>8749</v>
      </c>
      <c r="D354" s="3330" t="s">
        <v>8750</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8751</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8752</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8753</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8439</v>
      </c>
      <c r="C358" s="3330" t="s">
        <v>8754</v>
      </c>
      <c r="D358" s="3330" t="s">
        <v>8755</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8756</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8757</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8758</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8439</v>
      </c>
      <c r="C362" s="3330" t="s">
        <v>8759</v>
      </c>
      <c r="D362" s="3330" t="s">
        <v>8760</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8761</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8758</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8439</v>
      </c>
      <c r="C365" s="3330" t="s">
        <v>8762</v>
      </c>
      <c r="D365" s="3330" t="s">
        <v>8763</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8764</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8765</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8766</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8439</v>
      </c>
      <c r="C369" s="3330" t="s">
        <v>8767</v>
      </c>
      <c r="D369" s="3330" t="s">
        <v>8768</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8769</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8766</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8439</v>
      </c>
      <c r="C372" s="3330" t="s">
        <v>8770</v>
      </c>
      <c r="D372" s="3330" t="s">
        <v>8771</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8772</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8773</v>
      </c>
      <c r="E374" s="3343"/>
      <c r="F374" s="3730"/>
      <c r="G374" s="3729"/>
      <c r="H374" s="3863"/>
      <c r="I374" s="4037"/>
      <c r="J374" s="3096"/>
      <c r="K374" s="5176"/>
      <c r="L374" s="5146"/>
    </row>
    <row r="375" spans="1:24" s="120" customFormat="1" ht="13.5" customHeight="1">
      <c r="A375" s="3329">
        <v>87</v>
      </c>
      <c r="B375" s="3330" t="s">
        <v>8439</v>
      </c>
      <c r="C375" s="3330" t="s">
        <v>8774</v>
      </c>
      <c r="D375" s="3330" t="s">
        <v>8775</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8776</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8773</v>
      </c>
      <c r="E377" s="3343"/>
      <c r="F377" s="3730"/>
      <c r="G377" s="3729"/>
      <c r="H377" s="3863"/>
      <c r="I377" s="4037"/>
      <c r="J377" s="3096"/>
      <c r="K377" s="5176"/>
      <c r="L377" s="5146"/>
    </row>
    <row r="378" spans="1:24" s="120" customFormat="1" ht="13.5" customHeight="1">
      <c r="A378" s="3329">
        <v>88</v>
      </c>
      <c r="B378" s="3330" t="s">
        <v>8439</v>
      </c>
      <c r="C378" s="3330" t="s">
        <v>8777</v>
      </c>
      <c r="D378" s="3330" t="s">
        <v>8778</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8779</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8773</v>
      </c>
      <c r="E380" s="3343"/>
      <c r="F380" s="3730"/>
      <c r="G380" s="3729"/>
      <c r="H380" s="3863"/>
      <c r="I380" s="4037"/>
      <c r="J380" s="3096"/>
      <c r="K380" s="5176"/>
      <c r="L380" s="5146"/>
    </row>
    <row r="381" spans="1:24" s="120" customFormat="1" ht="13.5" customHeight="1">
      <c r="A381" s="3329">
        <v>89</v>
      </c>
      <c r="B381" s="3330" t="s">
        <v>8439</v>
      </c>
      <c r="C381" s="3330" t="s">
        <v>8780</v>
      </c>
      <c r="D381" s="3330" t="s">
        <v>8781</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8782</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8773</v>
      </c>
      <c r="E383" s="3343"/>
      <c r="F383" s="3730"/>
      <c r="G383" s="3729"/>
      <c r="H383" s="3863"/>
      <c r="I383" s="4037"/>
      <c r="J383" s="3096"/>
      <c r="K383" s="5176"/>
      <c r="L383" s="5146"/>
    </row>
    <row r="384" spans="1:24" s="120" customFormat="1" ht="13.5" customHeight="1">
      <c r="A384" s="3329">
        <v>90</v>
      </c>
      <c r="B384" s="3330" t="s">
        <v>8439</v>
      </c>
      <c r="C384" s="3330" t="s">
        <v>8783</v>
      </c>
      <c r="D384" s="3330" t="s">
        <v>8784</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8785</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8773</v>
      </c>
      <c r="E386" s="3343"/>
      <c r="F386" s="3730"/>
      <c r="G386" s="3729"/>
      <c r="H386" s="3863"/>
      <c r="I386" s="4037"/>
      <c r="J386" s="3096"/>
      <c r="K386" s="5176"/>
      <c r="L386" s="5146"/>
    </row>
    <row r="387" spans="1:24" s="120" customFormat="1" ht="13.5" customHeight="1">
      <c r="A387" s="3329">
        <v>91</v>
      </c>
      <c r="B387" s="3330" t="s">
        <v>8439</v>
      </c>
      <c r="C387" s="3330" t="s">
        <v>8786</v>
      </c>
      <c r="D387" s="3330" t="s">
        <v>8787</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8788</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8773</v>
      </c>
      <c r="E389" s="3343"/>
      <c r="F389" s="3730"/>
      <c r="G389" s="3729"/>
      <c r="H389" s="3863"/>
      <c r="I389" s="4037"/>
      <c r="J389" s="3096"/>
      <c r="K389" s="5176"/>
      <c r="L389" s="5146"/>
    </row>
    <row r="390" spans="1:24" s="120" customFormat="1" ht="13.5" customHeight="1">
      <c r="A390" s="3329">
        <v>92</v>
      </c>
      <c r="B390" s="3330" t="s">
        <v>8439</v>
      </c>
      <c r="C390" s="3330" t="s">
        <v>8789</v>
      </c>
      <c r="D390" s="3330" t="s">
        <v>8790</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8791</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8792</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8439</v>
      </c>
      <c r="C393" s="3330" t="s">
        <v>8793</v>
      </c>
      <c r="D393" s="3330" t="s">
        <v>8794</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8795</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8792</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8439</v>
      </c>
      <c r="C396" s="3330" t="s">
        <v>8796</v>
      </c>
      <c r="D396" s="3330" t="s">
        <v>8797</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8798</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8799</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8439</v>
      </c>
      <c r="C399" s="3330" t="s">
        <v>8800</v>
      </c>
      <c r="D399" s="3330" t="s">
        <v>8801</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8802</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8803</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8439</v>
      </c>
      <c r="C402" s="2919" t="s">
        <v>8804</v>
      </c>
      <c r="D402" s="2919" t="s">
        <v>8805</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8806</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8803</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8439</v>
      </c>
      <c r="C405" s="2919" t="s">
        <v>8807</v>
      </c>
      <c r="D405" s="2919" t="s">
        <v>8808</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8809</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8439</v>
      </c>
      <c r="C407" s="2919" t="s">
        <v>8810</v>
      </c>
      <c r="D407" s="2919" t="s">
        <v>8811</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8812</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8813</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8439</v>
      </c>
      <c r="C410" s="2919" t="s">
        <v>8814</v>
      </c>
      <c r="D410" s="2919" t="s">
        <v>8815</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8816</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8817</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8818</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8439</v>
      </c>
      <c r="C414" s="2919" t="s">
        <v>8819</v>
      </c>
      <c r="D414" s="5576" t="s">
        <v>11654</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11655</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8820</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8821</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8439</v>
      </c>
      <c r="C418" s="2919" t="s">
        <v>8822</v>
      </c>
      <c r="D418" s="2919" t="s">
        <v>8823</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8824</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8820</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8821</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8439</v>
      </c>
      <c r="C422" s="2919" t="s">
        <v>8825</v>
      </c>
      <c r="D422" s="5576" t="s">
        <v>11653</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8826</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8820</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8821</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8439</v>
      </c>
      <c r="C426" s="2919" t="s">
        <v>8827</v>
      </c>
      <c r="D426" s="2919" t="s">
        <v>8828</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8829</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8830</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8821</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8831</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8439</v>
      </c>
      <c r="C431" s="2919" t="s">
        <v>8832</v>
      </c>
      <c r="D431" s="2919" t="s">
        <v>8833</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8834</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8835</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8821</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8439</v>
      </c>
      <c r="C435" s="2919" t="s">
        <v>8836</v>
      </c>
      <c r="D435" s="2919" t="s">
        <v>8837</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8838</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8835</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8821</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8439</v>
      </c>
      <c r="C439" s="2919" t="s">
        <v>8839</v>
      </c>
      <c r="D439" s="2919" t="s">
        <v>8840</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8841</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8835</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8821</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8439</v>
      </c>
      <c r="C443" s="2919" t="s">
        <v>8842</v>
      </c>
      <c r="D443" s="2919" t="s">
        <v>8843</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8844</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8835</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8821</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8439</v>
      </c>
      <c r="C447" s="2919" t="s">
        <v>8845</v>
      </c>
      <c r="D447" s="2919" t="s">
        <v>8846</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8847</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8835</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8821</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8439</v>
      </c>
      <c r="C451" s="2919" t="s">
        <v>8848</v>
      </c>
      <c r="D451" s="2919" t="s">
        <v>8849</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8850</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8835</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8821</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8851</v>
      </c>
      <c r="D455" s="2913" t="s">
        <v>8852</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8853</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8854</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8855</v>
      </c>
      <c r="D458" s="2913" t="s">
        <v>8856</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8857</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8854</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8858</v>
      </c>
      <c r="D461" s="2913" t="s">
        <v>8859</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8860</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8854</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8861</v>
      </c>
      <c r="D464" s="2913" t="s">
        <v>8862</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8863</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8854</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8864</v>
      </c>
      <c r="D467" s="2913" t="s">
        <v>8865</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8866</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8854</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8867</v>
      </c>
      <c r="D470" s="2913" t="s">
        <v>8868</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8869</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8854</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8870</v>
      </c>
      <c r="D473" s="2913" t="s">
        <v>8871</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8872</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8873</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8874</v>
      </c>
      <c r="D476" s="2913" t="s">
        <v>8875</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8876</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8873</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8877</v>
      </c>
      <c r="D479" s="2913" t="s">
        <v>8878</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8879</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8873</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8880</v>
      </c>
      <c r="D482" s="2913" t="s">
        <v>8881</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8882</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8873</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8883</v>
      </c>
      <c r="D485" s="2913" t="s">
        <v>8884</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8885</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8873</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8886</v>
      </c>
      <c r="D488" s="2913" t="s">
        <v>8887</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8888</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8873</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8889</v>
      </c>
      <c r="D491" s="2913" t="s">
        <v>8890</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8891</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8873</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8892</v>
      </c>
      <c r="D494" s="2913" t="s">
        <v>8893</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8894</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8873</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8895</v>
      </c>
      <c r="D497" s="2913" t="s">
        <v>8896</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8897</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8873</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8898</v>
      </c>
      <c r="D500" s="2913" t="s">
        <v>8899</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8900</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8873</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8901</v>
      </c>
      <c r="D503" s="2913" t="s">
        <v>8902</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8903</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8873</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8904</v>
      </c>
      <c r="D506" s="2913" t="s">
        <v>8905</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8906</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8873</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8907</v>
      </c>
      <c r="D509" s="2913" t="s">
        <v>8908</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8909</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8873</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8910</v>
      </c>
      <c r="D512" s="2913" t="s">
        <v>8911</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6412</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10668</v>
      </c>
      <c r="B514" s="2958"/>
      <c r="C514" s="2959" t="s">
        <v>8912</v>
      </c>
      <c r="D514" s="2914" t="s">
        <v>8913</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10669</v>
      </c>
      <c r="B515" s="2958"/>
      <c r="C515" s="2959" t="s">
        <v>8914</v>
      </c>
      <c r="D515" s="2914" t="s">
        <v>8915</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10670</v>
      </c>
      <c r="B516" s="2963"/>
      <c r="C516" s="2964" t="s">
        <v>8916</v>
      </c>
      <c r="D516" s="2965" t="s">
        <v>8917</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10671</v>
      </c>
      <c r="B517" s="2958"/>
      <c r="C517" s="2959" t="s">
        <v>6423</v>
      </c>
      <c r="D517" s="2914" t="s">
        <v>8918</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8919</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8920</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8921</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6426</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8439</v>
      </c>
      <c r="C522" s="2972" t="s">
        <v>8922</v>
      </c>
      <c r="D522" s="2973" t="s">
        <v>8923</v>
      </c>
      <c r="E522" s="2974" t="s">
        <v>23</v>
      </c>
      <c r="F522" s="2975">
        <f>SUM(F523)</f>
        <v>1</v>
      </c>
      <c r="G522" s="2730"/>
      <c r="H522" s="3952">
        <f>ROUND(F522*G522,2)</f>
        <v>0</v>
      </c>
      <c r="I522" s="4005"/>
      <c r="J522" s="2976" t="s">
        <v>60</v>
      </c>
    </row>
    <row r="523" spans="1:41" s="2356" customFormat="1" ht="27" customHeight="1">
      <c r="A523" s="2977"/>
      <c r="B523" s="2978"/>
      <c r="C523" s="2978"/>
      <c r="D523" s="2979" t="s">
        <v>8924</v>
      </c>
      <c r="E523" s="2980"/>
      <c r="F523" s="2981">
        <v>1</v>
      </c>
      <c r="G523" s="2982"/>
      <c r="H523" s="3989"/>
      <c r="I523" s="4045"/>
      <c r="J523" s="2983"/>
      <c r="K523" s="4858"/>
      <c r="L523" s="5211"/>
    </row>
    <row r="524" spans="1:41" s="2356" customFormat="1" ht="54" customHeight="1">
      <c r="A524" s="2984"/>
      <c r="B524" s="2985"/>
      <c r="C524" s="2986"/>
      <c r="D524" s="2987" t="s">
        <v>8925</v>
      </c>
      <c r="E524" s="2979"/>
      <c r="F524" s="2988"/>
      <c r="G524" s="2989"/>
      <c r="H524" s="3990"/>
      <c r="I524" s="4046"/>
      <c r="J524" s="2990"/>
      <c r="K524" s="5212"/>
      <c r="L524" s="5213"/>
      <c r="M524" s="5214"/>
      <c r="N524" s="5214"/>
    </row>
    <row r="525" spans="1:41" s="120" customFormat="1" ht="13.5" customHeight="1">
      <c r="A525" s="2991">
        <v>131</v>
      </c>
      <c r="B525" s="2992" t="s">
        <v>8439</v>
      </c>
      <c r="C525" s="2992">
        <v>998734203</v>
      </c>
      <c r="D525" s="2992" t="s">
        <v>8926</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8577</v>
      </c>
      <c r="D526" s="2992" t="s">
        <v>8578</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8927</v>
      </c>
      <c r="E527" s="3001"/>
      <c r="F527" s="3002">
        <v>20</v>
      </c>
      <c r="G527" s="3003"/>
      <c r="H527" s="3991"/>
      <c r="I527" s="4047"/>
      <c r="J527" s="3004"/>
      <c r="K527" s="1290"/>
      <c r="V527" s="1292"/>
      <c r="X527" s="1292"/>
    </row>
    <row r="528" spans="1:41" s="1291" customFormat="1" ht="13.5" customHeight="1">
      <c r="A528" s="2997"/>
      <c r="B528" s="2998"/>
      <c r="C528" s="2999"/>
      <c r="D528" s="3000" t="s">
        <v>8928</v>
      </c>
      <c r="E528" s="3001"/>
      <c r="F528" s="3002"/>
      <c r="G528" s="3003"/>
      <c r="H528" s="3991"/>
      <c r="I528" s="4047"/>
      <c r="J528" s="3004"/>
      <c r="K528" s="1290"/>
      <c r="V528" s="1292"/>
      <c r="X528" s="1292"/>
    </row>
    <row r="529" spans="1:25" s="120" customFormat="1" ht="13.5" customHeight="1">
      <c r="A529" s="2991"/>
      <c r="B529" s="2992"/>
      <c r="C529" s="3005">
        <v>735</v>
      </c>
      <c r="D529" s="3005" t="s">
        <v>8929</v>
      </c>
      <c r="E529" s="3005"/>
      <c r="F529" s="3006"/>
      <c r="G529" s="3007"/>
      <c r="H529" s="3992">
        <f>SUM(H530:H597)</f>
        <v>0</v>
      </c>
      <c r="I529" s="4048">
        <f>SUM(I530:I597)</f>
        <v>0</v>
      </c>
      <c r="J529" s="2995"/>
      <c r="K529" s="562"/>
    </row>
    <row r="530" spans="1:25" s="120" customFormat="1" ht="13.5" customHeight="1">
      <c r="A530" s="2991">
        <v>133</v>
      </c>
      <c r="B530" s="2992">
        <v>731</v>
      </c>
      <c r="C530" s="2992" t="s">
        <v>8930</v>
      </c>
      <c r="D530" s="2992" t="s">
        <v>8931</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8932</v>
      </c>
      <c r="D531" s="2992" t="s">
        <v>8933</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8934</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8935</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8936</v>
      </c>
      <c r="D534" s="2992" t="s">
        <v>8937</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8938</v>
      </c>
      <c r="D535" s="2992" t="s">
        <v>8939</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8940</v>
      </c>
      <c r="D536" s="2992" t="s">
        <v>8941</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8942</v>
      </c>
      <c r="D537" s="2992" t="s">
        <v>8943</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8944</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6519</v>
      </c>
      <c r="E539" s="2979"/>
      <c r="F539" s="2981">
        <v>7</v>
      </c>
      <c r="G539" s="3015"/>
      <c r="H539" s="3994"/>
      <c r="I539" s="4050"/>
      <c r="J539" s="2976"/>
      <c r="K539" s="3016"/>
      <c r="S539" s="4884"/>
    </row>
    <row r="540" spans="1:25" s="2356" customFormat="1" ht="13.5" customHeight="1">
      <c r="A540" s="3014"/>
      <c r="B540" s="2979"/>
      <c r="C540" s="2979"/>
      <c r="D540" s="2979" t="s">
        <v>6520</v>
      </c>
      <c r="E540" s="2979"/>
      <c r="F540" s="2981">
        <v>15</v>
      </c>
      <c r="G540" s="3015"/>
      <c r="H540" s="3994"/>
      <c r="I540" s="4050"/>
      <c r="J540" s="2976"/>
      <c r="K540" s="3016"/>
      <c r="S540" s="4884"/>
    </row>
    <row r="541" spans="1:25" s="2356" customFormat="1" ht="13.5" customHeight="1">
      <c r="A541" s="3014"/>
      <c r="B541" s="2979"/>
      <c r="C541" s="2979"/>
      <c r="D541" s="2979" t="s">
        <v>6521</v>
      </c>
      <c r="E541" s="2979"/>
      <c r="F541" s="2981">
        <v>14</v>
      </c>
      <c r="G541" s="3015"/>
      <c r="H541" s="3994"/>
      <c r="I541" s="4050"/>
      <c r="J541" s="2976"/>
      <c r="K541" s="3016"/>
      <c r="S541" s="4884"/>
    </row>
    <row r="542" spans="1:25" s="3023" customFormat="1" ht="40.5" customHeight="1">
      <c r="A542" s="3017"/>
      <c r="B542" s="3018"/>
      <c r="C542" s="3018"/>
      <c r="D542" s="3019" t="s">
        <v>8945</v>
      </c>
      <c r="E542" s="3018"/>
      <c r="F542" s="3020"/>
      <c r="G542" s="3021"/>
      <c r="H542" s="3995"/>
      <c r="I542" s="4051"/>
      <c r="J542" s="3022"/>
      <c r="K542" s="5225"/>
      <c r="L542" s="5226"/>
      <c r="N542" s="5227"/>
      <c r="O542" s="5228"/>
    </row>
    <row r="543" spans="1:25" s="3023" customFormat="1" ht="13.5" customHeight="1">
      <c r="A543" s="3017"/>
      <c r="B543" s="3018"/>
      <c r="C543" s="3018"/>
      <c r="D543" s="3019" t="s">
        <v>8946</v>
      </c>
      <c r="E543" s="3018"/>
      <c r="F543" s="3020"/>
      <c r="G543" s="3021"/>
      <c r="H543" s="3995"/>
      <c r="I543" s="4051"/>
      <c r="J543" s="3022"/>
      <c r="K543" s="5229"/>
      <c r="L543" s="5229"/>
    </row>
    <row r="544" spans="1:25" s="120" customFormat="1" ht="13.5" customHeight="1">
      <c r="A544" s="2991">
        <v>141</v>
      </c>
      <c r="B544" s="2992">
        <v>731</v>
      </c>
      <c r="C544" s="2992" t="s">
        <v>8947</v>
      </c>
      <c r="D544" s="2992" t="s">
        <v>8948</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8944</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6523</v>
      </c>
      <c r="E546" s="2979"/>
      <c r="F546" s="2981">
        <v>3</v>
      </c>
      <c r="G546" s="3015"/>
      <c r="H546" s="3994"/>
      <c r="I546" s="4050"/>
      <c r="J546" s="2976"/>
      <c r="K546" s="3016"/>
      <c r="S546" s="4884"/>
    </row>
    <row r="547" spans="1:25" s="3023" customFormat="1" ht="40.5" customHeight="1">
      <c r="A547" s="3017"/>
      <c r="B547" s="3018"/>
      <c r="C547" s="3018"/>
      <c r="D547" s="3019" t="s">
        <v>8945</v>
      </c>
      <c r="E547" s="3018"/>
      <c r="F547" s="3020"/>
      <c r="G547" s="3021"/>
      <c r="H547" s="3995"/>
      <c r="I547" s="4051"/>
      <c r="J547" s="3022"/>
      <c r="K547" s="5225"/>
      <c r="L547" s="5226"/>
      <c r="N547" s="5227"/>
      <c r="O547" s="5228"/>
    </row>
    <row r="548" spans="1:25" s="3023" customFormat="1" ht="13.5" customHeight="1">
      <c r="A548" s="3017"/>
      <c r="B548" s="3018"/>
      <c r="C548" s="3018"/>
      <c r="D548" s="3019" t="s">
        <v>8946</v>
      </c>
      <c r="E548" s="3018"/>
      <c r="F548" s="3020"/>
      <c r="G548" s="3021"/>
      <c r="H548" s="3995"/>
      <c r="I548" s="4051"/>
      <c r="J548" s="3022"/>
      <c r="K548" s="5229"/>
      <c r="L548" s="5229"/>
    </row>
    <row r="549" spans="1:25" s="120" customFormat="1" ht="13.5" customHeight="1">
      <c r="A549" s="2991">
        <v>142</v>
      </c>
      <c r="B549" s="2992">
        <v>731</v>
      </c>
      <c r="C549" s="2992" t="s">
        <v>8949</v>
      </c>
      <c r="D549" s="2992" t="s">
        <v>8950</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8951</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6523</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8952</v>
      </c>
      <c r="E552" s="2978"/>
      <c r="F552" s="2722"/>
      <c r="G552" s="2982"/>
      <c r="H552" s="3989"/>
      <c r="I552" s="4045"/>
      <c r="J552" s="3022"/>
      <c r="K552" s="5230"/>
      <c r="L552" s="5231"/>
      <c r="M552" s="2686"/>
      <c r="N552" s="2938"/>
    </row>
    <row r="553" spans="1:25" s="3023" customFormat="1" ht="13.5" customHeight="1">
      <c r="A553" s="3017"/>
      <c r="B553" s="3018"/>
      <c r="C553" s="3018"/>
      <c r="D553" s="3019" t="s">
        <v>8946</v>
      </c>
      <c r="E553" s="3018"/>
      <c r="F553" s="3020"/>
      <c r="G553" s="3021"/>
      <c r="H553" s="3995"/>
      <c r="I553" s="4051"/>
      <c r="J553" s="3022"/>
      <c r="K553" s="5232"/>
      <c r="L553" s="5229"/>
      <c r="M553" s="5229"/>
    </row>
    <row r="554" spans="1:25" s="120" customFormat="1" ht="13.5" customHeight="1">
      <c r="A554" s="2991">
        <v>143</v>
      </c>
      <c r="B554" s="2992">
        <v>731</v>
      </c>
      <c r="C554" s="2992" t="s">
        <v>8953</v>
      </c>
      <c r="D554" s="2992" t="s">
        <v>8954</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8951</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6523</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8952</v>
      </c>
      <c r="E557" s="2978"/>
      <c r="F557" s="2722"/>
      <c r="G557" s="2982"/>
      <c r="H557" s="3989"/>
      <c r="I557" s="4045"/>
      <c r="J557" s="3022"/>
      <c r="K557" s="5230"/>
      <c r="L557" s="5231"/>
      <c r="M557" s="2686"/>
      <c r="N557" s="2938"/>
    </row>
    <row r="558" spans="1:25" s="3023" customFormat="1" ht="13.5" customHeight="1">
      <c r="A558" s="3017"/>
      <c r="B558" s="3018"/>
      <c r="C558" s="3018"/>
      <c r="D558" s="3019" t="s">
        <v>8946</v>
      </c>
      <c r="E558" s="3018"/>
      <c r="F558" s="3020"/>
      <c r="G558" s="3021"/>
      <c r="H558" s="3995"/>
      <c r="I558" s="4051"/>
      <c r="J558" s="3022"/>
      <c r="K558" s="5232"/>
      <c r="L558" s="5229"/>
      <c r="M558" s="5229"/>
    </row>
    <row r="559" spans="1:25" s="120" customFormat="1" ht="13.5" customHeight="1">
      <c r="A559" s="2991">
        <v>144</v>
      </c>
      <c r="B559" s="2992">
        <v>731</v>
      </c>
      <c r="C559" s="2992" t="s">
        <v>8955</v>
      </c>
      <c r="D559" s="2992" t="s">
        <v>8956</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8951</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6523</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8952</v>
      </c>
      <c r="E562" s="2978"/>
      <c r="F562" s="2722"/>
      <c r="G562" s="2982"/>
      <c r="H562" s="3989"/>
      <c r="I562" s="4045"/>
      <c r="J562" s="3022"/>
      <c r="K562" s="5230"/>
      <c r="L562" s="5231"/>
      <c r="M562" s="2686"/>
      <c r="N562" s="2938"/>
    </row>
    <row r="563" spans="1:25" s="3023" customFormat="1" ht="13.5" customHeight="1">
      <c r="A563" s="3017"/>
      <c r="B563" s="3018"/>
      <c r="C563" s="3018"/>
      <c r="D563" s="3019" t="s">
        <v>8946</v>
      </c>
      <c r="E563" s="3018"/>
      <c r="F563" s="3020"/>
      <c r="G563" s="3021"/>
      <c r="H563" s="3995"/>
      <c r="I563" s="4051"/>
      <c r="J563" s="3022"/>
      <c r="K563" s="5232"/>
      <c r="L563" s="5229"/>
      <c r="M563" s="5229"/>
    </row>
    <row r="564" spans="1:25" s="120" customFormat="1" ht="13.5" customHeight="1">
      <c r="A564" s="2991">
        <v>145</v>
      </c>
      <c r="B564" s="2992">
        <v>731</v>
      </c>
      <c r="C564" s="2992" t="s">
        <v>8957</v>
      </c>
      <c r="D564" s="2992" t="s">
        <v>8958</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8951</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6523</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8952</v>
      </c>
      <c r="E567" s="2978"/>
      <c r="F567" s="2722"/>
      <c r="G567" s="2982"/>
      <c r="H567" s="3989"/>
      <c r="I567" s="4045"/>
      <c r="J567" s="3022"/>
      <c r="K567" s="5230"/>
      <c r="L567" s="5231"/>
      <c r="M567" s="2686"/>
      <c r="N567" s="2938"/>
    </row>
    <row r="568" spans="1:25" s="3023" customFormat="1" ht="13.5" customHeight="1">
      <c r="A568" s="3017"/>
      <c r="B568" s="3018"/>
      <c r="C568" s="3018"/>
      <c r="D568" s="3019" t="s">
        <v>8946</v>
      </c>
      <c r="E568" s="3018"/>
      <c r="F568" s="3020"/>
      <c r="G568" s="3021"/>
      <c r="H568" s="3995"/>
      <c r="I568" s="4051"/>
      <c r="J568" s="3022"/>
      <c r="K568" s="5232"/>
      <c r="L568" s="5229"/>
      <c r="M568" s="5229"/>
    </row>
    <row r="569" spans="1:25" s="120" customFormat="1" ht="13.5" customHeight="1">
      <c r="A569" s="2991">
        <v>146</v>
      </c>
      <c r="B569" s="2992">
        <v>731</v>
      </c>
      <c r="C569" s="2992" t="s">
        <v>8959</v>
      </c>
      <c r="D569" s="2992" t="s">
        <v>8960</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8951</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6523</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8952</v>
      </c>
      <c r="E572" s="2978"/>
      <c r="F572" s="2722"/>
      <c r="G572" s="2982"/>
      <c r="H572" s="3989"/>
      <c r="I572" s="4045"/>
      <c r="J572" s="3022"/>
      <c r="K572" s="5230"/>
      <c r="L572" s="5231"/>
      <c r="M572" s="2686"/>
      <c r="N572" s="2938"/>
    </row>
    <row r="573" spans="1:25" s="3023" customFormat="1" ht="13.5" customHeight="1">
      <c r="A573" s="3017"/>
      <c r="B573" s="3018"/>
      <c r="C573" s="3018"/>
      <c r="D573" s="3019" t="s">
        <v>8946</v>
      </c>
      <c r="E573" s="3018"/>
      <c r="F573" s="3020"/>
      <c r="G573" s="3021"/>
      <c r="H573" s="3995"/>
      <c r="I573" s="4051"/>
      <c r="J573" s="3022"/>
      <c r="K573" s="5232"/>
      <c r="L573" s="5229"/>
      <c r="M573" s="5229"/>
    </row>
    <row r="574" spans="1:25" s="2291" customFormat="1" ht="13.5" customHeight="1">
      <c r="A574" s="3026">
        <v>147</v>
      </c>
      <c r="B574" s="3027" t="s">
        <v>8439</v>
      </c>
      <c r="C574" s="3018" t="s">
        <v>8961</v>
      </c>
      <c r="D574" s="3028" t="s">
        <v>8962</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8963</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8964</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8965</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8439</v>
      </c>
      <c r="C578" s="3018" t="s">
        <v>8966</v>
      </c>
      <c r="D578" s="3028" t="s">
        <v>8967</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8968</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8969</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8965</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8439</v>
      </c>
      <c r="C582" s="2992" t="s">
        <v>8970</v>
      </c>
      <c r="D582" s="2992" t="s">
        <v>8971</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6917</v>
      </c>
      <c r="E583" s="3001"/>
      <c r="F583" s="3002">
        <v>1</v>
      </c>
      <c r="G583" s="3003"/>
      <c r="H583" s="3991"/>
      <c r="I583" s="4047"/>
      <c r="J583" s="3004"/>
      <c r="K583" s="1290"/>
      <c r="V583" s="1292"/>
      <c r="X583" s="1292"/>
    </row>
    <row r="584" spans="1:68" s="2595" customFormat="1" ht="13.5" customHeight="1">
      <c r="A584" s="741">
        <v>150</v>
      </c>
      <c r="B584" s="2992" t="s">
        <v>8439</v>
      </c>
      <c r="C584" s="2992" t="s">
        <v>10400</v>
      </c>
      <c r="D584" s="2550" t="s">
        <v>10401</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10402</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10408</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8439</v>
      </c>
      <c r="C587" s="2992" t="s">
        <v>8972</v>
      </c>
      <c r="D587" s="2992" t="s">
        <v>8973</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8974</v>
      </c>
      <c r="E588" s="3001"/>
      <c r="F588" s="3002">
        <v>1</v>
      </c>
      <c r="G588" s="3003"/>
      <c r="H588" s="3991"/>
      <c r="I588" s="4047"/>
      <c r="J588" s="3004"/>
      <c r="K588" s="1290"/>
      <c r="V588" s="1292"/>
      <c r="X588" s="1292"/>
    </row>
    <row r="589" spans="1:68" s="120" customFormat="1" ht="13.5" customHeight="1">
      <c r="A589" s="2991">
        <v>152</v>
      </c>
      <c r="B589" s="2992" t="s">
        <v>8439</v>
      </c>
      <c r="C589" s="2992" t="s">
        <v>8972</v>
      </c>
      <c r="D589" s="2992" t="s">
        <v>8975</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8976</v>
      </c>
      <c r="E590" s="3001"/>
      <c r="F590" s="3002">
        <v>1</v>
      </c>
      <c r="G590" s="3003"/>
      <c r="H590" s="3991"/>
      <c r="I590" s="4047"/>
      <c r="J590" s="3004"/>
      <c r="K590" s="1290"/>
      <c r="V590" s="1292"/>
      <c r="X590" s="1292"/>
    </row>
    <row r="591" spans="1:68" s="120" customFormat="1" ht="13.5" customHeight="1">
      <c r="A591" s="2991">
        <v>153</v>
      </c>
      <c r="B591" s="2992" t="s">
        <v>8439</v>
      </c>
      <c r="C591" s="2992" t="s">
        <v>8977</v>
      </c>
      <c r="D591" s="3036" t="s">
        <v>8978</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8979</v>
      </c>
      <c r="E592" s="3001"/>
      <c r="F592" s="3002">
        <v>1</v>
      </c>
      <c r="G592" s="3003"/>
      <c r="H592" s="3991"/>
      <c r="I592" s="4047"/>
      <c r="J592" s="3004"/>
      <c r="K592" s="1290"/>
      <c r="V592" s="1292"/>
      <c r="X592" s="1292"/>
    </row>
    <row r="593" spans="1:24" s="1291" customFormat="1" ht="27" customHeight="1">
      <c r="A593" s="2997"/>
      <c r="B593" s="2998"/>
      <c r="C593" s="2999"/>
      <c r="D593" s="3037" t="s">
        <v>8980</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8981</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8577</v>
      </c>
      <c r="D595" s="2992" t="s">
        <v>8578</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8982</v>
      </c>
      <c r="E596" s="3001"/>
      <c r="F596" s="3002">
        <v>15</v>
      </c>
      <c r="G596" s="3003"/>
      <c r="H596" s="3991"/>
      <c r="I596" s="4047"/>
      <c r="J596" s="3004"/>
      <c r="K596" s="1290"/>
      <c r="V596" s="1292"/>
      <c r="X596" s="1292"/>
    </row>
    <row r="597" spans="1:24" s="1291" customFormat="1" ht="13.5" customHeight="1">
      <c r="A597" s="2997"/>
      <c r="B597" s="2998"/>
      <c r="C597" s="2999"/>
      <c r="D597" s="3000" t="s">
        <v>8928</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900" t="s">
        <v>99</v>
      </c>
      <c r="B600" s="5901"/>
      <c r="C600" s="5902"/>
      <c r="D600" s="2412" t="s">
        <v>10509</v>
      </c>
      <c r="E600" s="2413"/>
      <c r="F600" s="3040"/>
      <c r="G600" s="2415"/>
      <c r="H600" s="3852">
        <f>H598</f>
        <v>0</v>
      </c>
      <c r="I600" s="3853"/>
      <c r="J600" s="48"/>
    </row>
    <row r="601" spans="1:24" ht="13.5" customHeight="1">
      <c r="A601" s="5900" t="s">
        <v>99</v>
      </c>
      <c r="B601" s="5901"/>
      <c r="C601" s="5902"/>
      <c r="D601" s="2412" t="s">
        <v>10508</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814" t="s">
        <v>308</v>
      </c>
      <c r="B604" s="5814"/>
      <c r="C604" s="5814"/>
      <c r="D604" s="5814"/>
      <c r="E604" s="5814"/>
      <c r="F604" s="5814"/>
      <c r="G604" s="5814"/>
      <c r="H604" s="48"/>
      <c r="I604" s="48"/>
      <c r="J604" s="2366"/>
    </row>
    <row r="605" spans="1:24" ht="93.75" customHeight="1">
      <c r="A605" s="5814" t="s">
        <v>26</v>
      </c>
      <c r="B605" s="5814"/>
      <c r="C605" s="5814"/>
      <c r="D605" s="5814"/>
      <c r="E605" s="5814"/>
      <c r="F605" s="5814"/>
      <c r="G605" s="5814"/>
      <c r="H605" s="48"/>
      <c r="I605" s="48"/>
      <c r="J605" s="48"/>
    </row>
    <row r="606" spans="1:24" ht="13.5" customHeight="1">
      <c r="A606" s="5814" t="s">
        <v>27</v>
      </c>
      <c r="B606" s="5814"/>
      <c r="C606" s="5814"/>
      <c r="D606" s="5814"/>
      <c r="E606" s="5814"/>
      <c r="F606" s="5814"/>
      <c r="G606" s="5814"/>
      <c r="H606" s="318"/>
      <c r="I606" s="318"/>
      <c r="J606" s="318"/>
    </row>
    <row r="607" spans="1:24" ht="13.5" customHeight="1">
      <c r="A607" s="5814" t="s">
        <v>28</v>
      </c>
      <c r="B607" s="5814"/>
      <c r="C607" s="5814"/>
      <c r="D607" s="5814"/>
      <c r="E607" s="5814"/>
      <c r="F607" s="5814"/>
      <c r="G607" s="5814"/>
      <c r="H607" s="318"/>
      <c r="I607" s="318"/>
      <c r="J607" s="318"/>
    </row>
    <row r="608" spans="1:24" ht="40.5" customHeight="1">
      <c r="A608" s="5816" t="s">
        <v>61</v>
      </c>
      <c r="B608" s="5816"/>
      <c r="C608" s="5816"/>
      <c r="D608" s="5816"/>
      <c r="E608" s="5816"/>
      <c r="F608" s="5816"/>
      <c r="G608" s="5816"/>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election activeCell="E23" sqref="E23"/>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913" t="s">
        <v>112</v>
      </c>
      <c r="B2" s="5914"/>
      <c r="C2" s="5914"/>
      <c r="D2" s="5914"/>
      <c r="E2" s="5914"/>
      <c r="F2" s="5914"/>
      <c r="G2" s="5914"/>
      <c r="H2" s="5914"/>
      <c r="I2" s="5914"/>
      <c r="J2" s="5007"/>
    </row>
    <row r="3" spans="1:98" ht="13.5" customHeight="1">
      <c r="A3" s="2531" t="s">
        <v>7700</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10491</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7701</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7702</v>
      </c>
      <c r="D9" s="1057" t="s">
        <v>7703</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7704</v>
      </c>
      <c r="E10" s="1449"/>
      <c r="F10" s="1063">
        <v>1</v>
      </c>
      <c r="G10" s="1561"/>
      <c r="H10" s="4062"/>
      <c r="I10" s="4368"/>
      <c r="J10" s="4855"/>
      <c r="L10" s="2526"/>
      <c r="Q10" s="5019"/>
    </row>
    <row r="11" spans="1:98" s="2595" customFormat="1" ht="27" customHeight="1">
      <c r="A11" s="1336"/>
      <c r="B11" s="1057"/>
      <c r="C11" s="1057"/>
      <c r="D11" s="1119" t="s">
        <v>7705</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7706</v>
      </c>
      <c r="E12" s="1449"/>
      <c r="F12" s="1063"/>
      <c r="G12" s="1561"/>
      <c r="H12" s="4062"/>
      <c r="I12" s="1087"/>
      <c r="J12" s="5029"/>
    </row>
    <row r="13" spans="1:98" s="1277" customFormat="1" ht="38.25" customHeight="1">
      <c r="A13" s="1560"/>
      <c r="B13" s="1449"/>
      <c r="C13" s="1449"/>
      <c r="D13" s="2597" t="s">
        <v>7707</v>
      </c>
      <c r="E13" s="1449"/>
      <c r="F13" s="1063"/>
      <c r="G13" s="1561"/>
      <c r="H13" s="4062"/>
      <c r="I13" s="4467"/>
      <c r="J13" s="1562"/>
    </row>
    <row r="14" spans="1:98" s="1102" customFormat="1" ht="27" customHeight="1">
      <c r="A14" s="1336">
        <v>2</v>
      </c>
      <c r="B14" s="1057">
        <v>751</v>
      </c>
      <c r="C14" s="1057" t="s">
        <v>7708</v>
      </c>
      <c r="D14" s="1057" t="s">
        <v>7709</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7710</v>
      </c>
      <c r="E15" s="1449"/>
      <c r="F15" s="1063">
        <v>1</v>
      </c>
      <c r="G15" s="1561"/>
      <c r="H15" s="4062"/>
      <c r="I15" s="4368"/>
      <c r="J15" s="4855"/>
      <c r="L15" s="2526"/>
      <c r="Q15" s="5019"/>
    </row>
    <row r="16" spans="1:98" s="2595" customFormat="1" ht="27" customHeight="1">
      <c r="A16" s="1336"/>
      <c r="B16" s="1057"/>
      <c r="C16" s="1057"/>
      <c r="D16" s="1119" t="s">
        <v>7711</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7706</v>
      </c>
      <c r="E17" s="1449"/>
      <c r="F17" s="1063"/>
      <c r="G17" s="1561"/>
      <c r="H17" s="4062"/>
      <c r="I17" s="1087"/>
      <c r="J17" s="5029"/>
    </row>
    <row r="18" spans="1:98" s="1277" customFormat="1" ht="38.25" customHeight="1">
      <c r="A18" s="1560"/>
      <c r="B18" s="1449"/>
      <c r="C18" s="1449"/>
      <c r="D18" s="2597" t="s">
        <v>7707</v>
      </c>
      <c r="E18" s="1449"/>
      <c r="F18" s="1063"/>
      <c r="G18" s="1561"/>
      <c r="H18" s="4062"/>
      <c r="I18" s="4467"/>
      <c r="J18" s="1061"/>
    </row>
    <row r="19" spans="1:98" s="1102" customFormat="1" ht="27" customHeight="1">
      <c r="A19" s="1336">
        <v>3</v>
      </c>
      <c r="B19" s="1057">
        <v>751</v>
      </c>
      <c r="C19" s="1057" t="s">
        <v>7712</v>
      </c>
      <c r="D19" s="1057" t="s">
        <v>7713</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7714</v>
      </c>
      <c r="E20" s="1449"/>
      <c r="F20" s="1063">
        <v>1</v>
      </c>
      <c r="G20" s="1561"/>
      <c r="H20" s="4062"/>
      <c r="I20" s="4368"/>
      <c r="J20" s="4855"/>
      <c r="L20" s="2526"/>
      <c r="Q20" s="5019"/>
    </row>
    <row r="21" spans="1:98" s="2595" customFormat="1" ht="27" customHeight="1">
      <c r="A21" s="1336"/>
      <c r="B21" s="1057"/>
      <c r="C21" s="1057"/>
      <c r="D21" s="1119" t="s">
        <v>7715</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7706</v>
      </c>
      <c r="E22" s="1449"/>
      <c r="F22" s="1063"/>
      <c r="G22" s="1561"/>
      <c r="H22" s="4062"/>
      <c r="I22" s="1087"/>
      <c r="J22" s="5029"/>
    </row>
    <row r="23" spans="1:98" s="1277" customFormat="1" ht="38.25" customHeight="1">
      <c r="A23" s="1560"/>
      <c r="B23" s="1449"/>
      <c r="C23" s="1449"/>
      <c r="D23" s="2597" t="s">
        <v>7707</v>
      </c>
      <c r="E23" s="1449"/>
      <c r="F23" s="1063"/>
      <c r="G23" s="1561"/>
      <c r="H23" s="4062"/>
      <c r="I23" s="4467"/>
      <c r="J23" s="1061"/>
    </row>
    <row r="24" spans="1:98" s="1102" customFormat="1" ht="27" customHeight="1">
      <c r="A24" s="1336">
        <v>4</v>
      </c>
      <c r="B24" s="1057">
        <v>751</v>
      </c>
      <c r="C24" s="1057" t="s">
        <v>7716</v>
      </c>
      <c r="D24" s="1057" t="s">
        <v>7717</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7718</v>
      </c>
      <c r="E25" s="1449"/>
      <c r="F25" s="1063">
        <v>1</v>
      </c>
      <c r="G25" s="1561"/>
      <c r="H25" s="4062"/>
      <c r="I25" s="4368"/>
      <c r="J25" s="4855"/>
      <c r="L25" s="2526"/>
      <c r="Q25" s="5019"/>
    </row>
    <row r="26" spans="1:98" s="2595" customFormat="1" ht="27" customHeight="1">
      <c r="A26" s="1336"/>
      <c r="B26" s="1057"/>
      <c r="C26" s="1057"/>
      <c r="D26" s="1119" t="s">
        <v>7705</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7706</v>
      </c>
      <c r="E27" s="1449"/>
      <c r="F27" s="1063"/>
      <c r="G27" s="1561"/>
      <c r="H27" s="4062"/>
      <c r="I27" s="1087"/>
      <c r="J27" s="5029"/>
    </row>
    <row r="28" spans="1:98" s="1277" customFormat="1" ht="38.25" customHeight="1">
      <c r="A28" s="1560"/>
      <c r="B28" s="1449"/>
      <c r="C28" s="1449"/>
      <c r="D28" s="2597" t="s">
        <v>7707</v>
      </c>
      <c r="E28" s="1449"/>
      <c r="F28" s="1063"/>
      <c r="G28" s="1561"/>
      <c r="H28" s="4062"/>
      <c r="I28" s="4467"/>
      <c r="J28" s="1061"/>
    </row>
    <row r="29" spans="1:98" s="1102" customFormat="1" ht="27" customHeight="1">
      <c r="A29" s="1336">
        <v>5</v>
      </c>
      <c r="B29" s="1057">
        <v>751</v>
      </c>
      <c r="C29" s="1057" t="s">
        <v>7719</v>
      </c>
      <c r="D29" s="1057" t="s">
        <v>7720</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7721</v>
      </c>
      <c r="E30" s="1449"/>
      <c r="F30" s="1063">
        <v>1</v>
      </c>
      <c r="G30" s="1561"/>
      <c r="H30" s="4062"/>
      <c r="I30" s="4368"/>
      <c r="J30" s="4855"/>
      <c r="L30" s="2526"/>
      <c r="Q30" s="5019"/>
    </row>
    <row r="31" spans="1:98" s="2595" customFormat="1" ht="27" customHeight="1">
      <c r="A31" s="1336"/>
      <c r="B31" s="1057"/>
      <c r="C31" s="1057"/>
      <c r="D31" s="1119" t="s">
        <v>7722</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7706</v>
      </c>
      <c r="E32" s="1449"/>
      <c r="F32" s="1063"/>
      <c r="G32" s="1561"/>
      <c r="H32" s="4062"/>
      <c r="I32" s="1087"/>
      <c r="J32" s="5029"/>
    </row>
    <row r="33" spans="1:98" s="1277" customFormat="1" ht="38.25" customHeight="1">
      <c r="A33" s="1560"/>
      <c r="B33" s="1449"/>
      <c r="C33" s="1449"/>
      <c r="D33" s="2597" t="s">
        <v>7707</v>
      </c>
      <c r="E33" s="1449"/>
      <c r="F33" s="1063"/>
      <c r="G33" s="1561"/>
      <c r="H33" s="4062"/>
      <c r="I33" s="4467"/>
      <c r="J33" s="1061"/>
    </row>
    <row r="34" spans="1:98" s="1102" customFormat="1" ht="27" customHeight="1">
      <c r="A34" s="1336">
        <v>6</v>
      </c>
      <c r="B34" s="1057">
        <v>751</v>
      </c>
      <c r="C34" s="1057" t="s">
        <v>7723</v>
      </c>
      <c r="D34" s="1057" t="s">
        <v>7724</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7725</v>
      </c>
      <c r="E35" s="1449"/>
      <c r="F35" s="1063">
        <v>1</v>
      </c>
      <c r="G35" s="1561"/>
      <c r="H35" s="4062"/>
      <c r="I35" s="4368"/>
      <c r="J35" s="4855"/>
      <c r="L35" s="2526"/>
      <c r="Q35" s="5019"/>
    </row>
    <row r="36" spans="1:98" s="2595" customFormat="1" ht="27" customHeight="1">
      <c r="A36" s="1336"/>
      <c r="B36" s="1057"/>
      <c r="C36" s="1057"/>
      <c r="D36" s="1119" t="s">
        <v>7726</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7706</v>
      </c>
      <c r="E37" s="1449"/>
      <c r="F37" s="1063"/>
      <c r="G37" s="1561"/>
      <c r="H37" s="4062"/>
      <c r="I37" s="1087"/>
      <c r="J37" s="5029"/>
    </row>
    <row r="38" spans="1:98" s="1277" customFormat="1" ht="38.25" customHeight="1">
      <c r="A38" s="1560"/>
      <c r="B38" s="1449"/>
      <c r="C38" s="1449"/>
      <c r="D38" s="2597" t="s">
        <v>7707</v>
      </c>
      <c r="E38" s="1449"/>
      <c r="F38" s="1063"/>
      <c r="G38" s="1561"/>
      <c r="H38" s="4062"/>
      <c r="I38" s="4467"/>
      <c r="J38" s="1061"/>
    </row>
    <row r="39" spans="1:98" s="1102" customFormat="1" ht="13.5" customHeight="1">
      <c r="A39" s="5573">
        <v>7</v>
      </c>
      <c r="B39" s="1057">
        <v>751</v>
      </c>
      <c r="C39" s="1057" t="s">
        <v>7727</v>
      </c>
      <c r="D39" s="1057" t="s">
        <v>7728</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7729</v>
      </c>
      <c r="E40" s="1449"/>
      <c r="F40" s="1063">
        <v>1</v>
      </c>
      <c r="G40" s="1561"/>
      <c r="H40" s="4062"/>
      <c r="I40" s="4368"/>
      <c r="J40" s="4855"/>
      <c r="L40" s="1563"/>
      <c r="Q40" s="5019"/>
    </row>
    <row r="41" spans="1:98" s="2595" customFormat="1" ht="27" customHeight="1">
      <c r="A41" s="1336"/>
      <c r="B41" s="1057"/>
      <c r="C41" s="1057"/>
      <c r="D41" s="1119" t="s">
        <v>11628</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11627</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7706</v>
      </c>
      <c r="E43" s="1449"/>
      <c r="F43" s="1063"/>
      <c r="G43" s="1561"/>
      <c r="H43" s="4062"/>
      <c r="I43" s="1087"/>
      <c r="J43" s="5029"/>
    </row>
    <row r="44" spans="1:98" s="1277" customFormat="1" ht="38.25" customHeight="1">
      <c r="A44" s="1560"/>
      <c r="B44" s="1449"/>
      <c r="C44" s="1449"/>
      <c r="D44" s="2597" t="s">
        <v>7707</v>
      </c>
      <c r="E44" s="1449"/>
      <c r="F44" s="1063"/>
      <c r="G44" s="1561"/>
      <c r="H44" s="4062"/>
      <c r="I44" s="4467"/>
      <c r="J44" s="1061"/>
    </row>
    <row r="45" spans="1:98" s="1102" customFormat="1" ht="27" customHeight="1">
      <c r="A45" s="5573">
        <v>8</v>
      </c>
      <c r="B45" s="1057">
        <v>751</v>
      </c>
      <c r="C45" s="1057" t="s">
        <v>7730</v>
      </c>
      <c r="D45" s="1057" t="s">
        <v>7731</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7732</v>
      </c>
      <c r="E46" s="1449"/>
      <c r="F46" s="1063">
        <v>1</v>
      </c>
      <c r="G46" s="1561"/>
      <c r="H46" s="4062"/>
      <c r="I46" s="4368"/>
      <c r="J46" s="4855"/>
      <c r="L46" s="1563"/>
      <c r="Q46" s="5019"/>
    </row>
    <row r="47" spans="1:98" s="2595" customFormat="1" ht="27" customHeight="1">
      <c r="A47" s="1336"/>
      <c r="B47" s="1057"/>
      <c r="C47" s="1057"/>
      <c r="D47" s="1119" t="s">
        <v>7733</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11627</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7706</v>
      </c>
      <c r="E49" s="1449"/>
      <c r="F49" s="1063"/>
      <c r="G49" s="1561"/>
      <c r="H49" s="4062"/>
      <c r="I49" s="1087"/>
      <c r="J49" s="5029"/>
    </row>
    <row r="50" spans="1:98" s="1277" customFormat="1" ht="38.25" customHeight="1">
      <c r="A50" s="1560"/>
      <c r="B50" s="1449"/>
      <c r="C50" s="1449"/>
      <c r="D50" s="2597" t="s">
        <v>7707</v>
      </c>
      <c r="E50" s="1449"/>
      <c r="F50" s="1063"/>
      <c r="G50" s="1561"/>
      <c r="H50" s="4062"/>
      <c r="I50" s="4467"/>
      <c r="J50" s="1061"/>
    </row>
    <row r="51" spans="1:98" s="1102" customFormat="1" ht="27" customHeight="1">
      <c r="A51" s="1336">
        <v>9</v>
      </c>
      <c r="B51" s="1057">
        <v>751</v>
      </c>
      <c r="C51" s="1057" t="s">
        <v>7734</v>
      </c>
      <c r="D51" s="1057" t="s">
        <v>7735</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7736</v>
      </c>
      <c r="E52" s="1449"/>
      <c r="F52" s="1063">
        <v>1</v>
      </c>
      <c r="G52" s="1561"/>
      <c r="H52" s="4062"/>
      <c r="I52" s="4368"/>
      <c r="J52" s="4855"/>
      <c r="L52" s="1563"/>
      <c r="Q52" s="5019"/>
    </row>
    <row r="53" spans="1:98" s="2595" customFormat="1" ht="27" customHeight="1">
      <c r="A53" s="1336"/>
      <c r="B53" s="1057"/>
      <c r="C53" s="1057"/>
      <c r="D53" s="1119" t="s">
        <v>7737</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7706</v>
      </c>
      <c r="E54" s="1449"/>
      <c r="F54" s="1063"/>
      <c r="G54" s="1561"/>
      <c r="H54" s="4062"/>
      <c r="I54" s="1087"/>
      <c r="J54" s="5029"/>
    </row>
    <row r="55" spans="1:98" s="1277" customFormat="1" ht="38.25" customHeight="1">
      <c r="A55" s="1560"/>
      <c r="B55" s="1449"/>
      <c r="C55" s="1449"/>
      <c r="D55" s="2597" t="s">
        <v>7707</v>
      </c>
      <c r="E55" s="1449"/>
      <c r="F55" s="1063"/>
      <c r="G55" s="1561"/>
      <c r="H55" s="4062"/>
      <c r="I55" s="4467"/>
      <c r="J55" s="1061"/>
    </row>
    <row r="56" spans="1:98" s="1102" customFormat="1" ht="27" customHeight="1">
      <c r="A56" s="1336">
        <v>10</v>
      </c>
      <c r="B56" s="1057">
        <v>751</v>
      </c>
      <c r="C56" s="1057" t="s">
        <v>7738</v>
      </c>
      <c r="D56" s="1057" t="s">
        <v>7739</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7740</v>
      </c>
      <c r="E57" s="1449"/>
      <c r="F57" s="1063">
        <v>1</v>
      </c>
      <c r="G57" s="1561"/>
      <c r="H57" s="4062"/>
      <c r="I57" s="4368"/>
      <c r="J57" s="4855"/>
      <c r="L57" s="1563"/>
      <c r="Q57" s="5019"/>
    </row>
    <row r="58" spans="1:98" s="2595" customFormat="1" ht="27" customHeight="1">
      <c r="A58" s="1336"/>
      <c r="B58" s="1057"/>
      <c r="C58" s="1057"/>
      <c r="D58" s="1119" t="s">
        <v>7741</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7706</v>
      </c>
      <c r="E59" s="1449"/>
      <c r="F59" s="1063"/>
      <c r="G59" s="1561"/>
      <c r="H59" s="4062"/>
      <c r="I59" s="1087"/>
      <c r="J59" s="5029"/>
    </row>
    <row r="60" spans="1:98" s="1277" customFormat="1" ht="38.25" customHeight="1">
      <c r="A60" s="1560"/>
      <c r="B60" s="1449"/>
      <c r="C60" s="1449"/>
      <c r="D60" s="2597" t="s">
        <v>7707</v>
      </c>
      <c r="E60" s="1449"/>
      <c r="F60" s="1063"/>
      <c r="G60" s="1561"/>
      <c r="H60" s="4062"/>
      <c r="I60" s="4467"/>
      <c r="J60" s="1061"/>
    </row>
    <row r="61" spans="1:98" s="1102" customFormat="1" ht="27" customHeight="1">
      <c r="A61" s="1336">
        <v>11</v>
      </c>
      <c r="B61" s="1057">
        <v>751</v>
      </c>
      <c r="C61" s="1057" t="s">
        <v>7742</v>
      </c>
      <c r="D61" s="1057" t="s">
        <v>7743</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7744</v>
      </c>
      <c r="E62" s="1449"/>
      <c r="F62" s="1063">
        <v>1</v>
      </c>
      <c r="G62" s="1561"/>
      <c r="H62" s="4062"/>
      <c r="I62" s="4368"/>
      <c r="J62" s="4855"/>
      <c r="L62" s="1563"/>
      <c r="Q62" s="5019"/>
    </row>
    <row r="63" spans="1:98" s="2595" customFormat="1" ht="27" customHeight="1">
      <c r="A63" s="1336"/>
      <c r="B63" s="1057"/>
      <c r="C63" s="1057"/>
      <c r="D63" s="1119" t="s">
        <v>7741</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7706</v>
      </c>
      <c r="E64" s="1449"/>
      <c r="F64" s="1063"/>
      <c r="G64" s="1561"/>
      <c r="H64" s="4062"/>
      <c r="I64" s="1087"/>
      <c r="J64" s="5029"/>
    </row>
    <row r="65" spans="1:98" s="1277" customFormat="1" ht="38.25" customHeight="1">
      <c r="A65" s="1560"/>
      <c r="B65" s="1449"/>
      <c r="C65" s="1449"/>
      <c r="D65" s="2597" t="s">
        <v>7707</v>
      </c>
      <c r="E65" s="1449"/>
      <c r="F65" s="1063"/>
      <c r="G65" s="1561"/>
      <c r="H65" s="4062"/>
      <c r="I65" s="4467"/>
      <c r="J65" s="1061"/>
    </row>
    <row r="66" spans="1:98" s="1102" customFormat="1" ht="27" customHeight="1">
      <c r="A66" s="1336">
        <v>12</v>
      </c>
      <c r="B66" s="1057">
        <v>751</v>
      </c>
      <c r="C66" s="1057" t="s">
        <v>7745</v>
      </c>
      <c r="D66" s="1057" t="s">
        <v>7746</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7747</v>
      </c>
      <c r="E67" s="1449"/>
      <c r="F67" s="1063">
        <v>1</v>
      </c>
      <c r="G67" s="1561"/>
      <c r="H67" s="4062"/>
      <c r="I67" s="4368"/>
      <c r="J67" s="4855"/>
      <c r="L67" s="1563"/>
      <c r="Q67" s="5019"/>
    </row>
    <row r="68" spans="1:98" s="2595" customFormat="1" ht="27" customHeight="1">
      <c r="A68" s="1336"/>
      <c r="B68" s="1057"/>
      <c r="C68" s="1057"/>
      <c r="D68" s="1119" t="s">
        <v>7748</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7706</v>
      </c>
      <c r="E69" s="1449"/>
      <c r="F69" s="1063"/>
      <c r="G69" s="1561"/>
      <c r="H69" s="4062"/>
      <c r="I69" s="1087"/>
      <c r="J69" s="5029"/>
    </row>
    <row r="70" spans="1:98" s="1277" customFormat="1" ht="38.25" customHeight="1">
      <c r="A70" s="1560"/>
      <c r="B70" s="1449"/>
      <c r="C70" s="1449"/>
      <c r="D70" s="2597" t="s">
        <v>7707</v>
      </c>
      <c r="E70" s="1449"/>
      <c r="F70" s="1063"/>
      <c r="G70" s="1561"/>
      <c r="H70" s="4062"/>
      <c r="I70" s="4467"/>
      <c r="J70" s="1061"/>
    </row>
    <row r="71" spans="1:98" s="1102" customFormat="1" ht="27" customHeight="1">
      <c r="A71" s="1336">
        <v>13</v>
      </c>
      <c r="B71" s="1057">
        <v>751</v>
      </c>
      <c r="C71" s="1057" t="s">
        <v>7749</v>
      </c>
      <c r="D71" s="1057" t="s">
        <v>7750</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7751</v>
      </c>
      <c r="E72" s="1449"/>
      <c r="F72" s="1063">
        <v>1</v>
      </c>
      <c r="G72" s="1561"/>
      <c r="H72" s="4062"/>
      <c r="I72" s="4368"/>
      <c r="J72" s="4855"/>
      <c r="L72" s="1563"/>
      <c r="Q72" s="5019"/>
    </row>
    <row r="73" spans="1:98" s="2595" customFormat="1" ht="27" customHeight="1">
      <c r="A73" s="1336"/>
      <c r="B73" s="1057"/>
      <c r="C73" s="1057"/>
      <c r="D73" s="1119" t="s">
        <v>7748</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7706</v>
      </c>
      <c r="E74" s="1449"/>
      <c r="F74" s="1063"/>
      <c r="G74" s="1561"/>
      <c r="H74" s="4062"/>
      <c r="I74" s="1087"/>
      <c r="J74" s="5029"/>
    </row>
    <row r="75" spans="1:98" s="1277" customFormat="1" ht="38.25" customHeight="1">
      <c r="A75" s="1560"/>
      <c r="B75" s="1449"/>
      <c r="C75" s="1449"/>
      <c r="D75" s="2597" t="s">
        <v>7707</v>
      </c>
      <c r="E75" s="1449"/>
      <c r="F75" s="1063"/>
      <c r="G75" s="1561"/>
      <c r="H75" s="4062"/>
      <c r="I75" s="4467"/>
      <c r="J75" s="1061"/>
    </row>
    <row r="76" spans="1:98" s="1102" customFormat="1" ht="27" customHeight="1">
      <c r="A76" s="1336">
        <v>14</v>
      </c>
      <c r="B76" s="1057">
        <v>751</v>
      </c>
      <c r="C76" s="1057" t="s">
        <v>7752</v>
      </c>
      <c r="D76" s="1057" t="s">
        <v>7753</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7754</v>
      </c>
      <c r="E77" s="1449"/>
      <c r="F77" s="1063">
        <v>1</v>
      </c>
      <c r="G77" s="1561"/>
      <c r="H77" s="4062"/>
      <c r="I77" s="4368"/>
      <c r="J77" s="4855"/>
      <c r="L77" s="1563"/>
      <c r="Q77" s="5019"/>
    </row>
    <row r="78" spans="1:98" s="2595" customFormat="1" ht="27" customHeight="1">
      <c r="A78" s="1336"/>
      <c r="B78" s="1057"/>
      <c r="C78" s="1057"/>
      <c r="D78" s="1119" t="s">
        <v>7748</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7706</v>
      </c>
      <c r="E79" s="1449"/>
      <c r="F79" s="1063"/>
      <c r="G79" s="1561"/>
      <c r="H79" s="4062"/>
      <c r="I79" s="1087"/>
      <c r="J79" s="5029"/>
    </row>
    <row r="80" spans="1:98" s="1277" customFormat="1" ht="38.25" customHeight="1">
      <c r="A80" s="1560"/>
      <c r="B80" s="1449"/>
      <c r="C80" s="1449"/>
      <c r="D80" s="2597" t="s">
        <v>7707</v>
      </c>
      <c r="E80" s="1449"/>
      <c r="F80" s="1063"/>
      <c r="G80" s="1561"/>
      <c r="H80" s="4062"/>
      <c r="I80" s="4467"/>
      <c r="J80" s="1061"/>
    </row>
    <row r="81" spans="1:98" s="1102" customFormat="1" ht="27" customHeight="1">
      <c r="A81" s="1336">
        <v>15</v>
      </c>
      <c r="B81" s="1057">
        <v>751</v>
      </c>
      <c r="C81" s="1057" t="s">
        <v>7755</v>
      </c>
      <c r="D81" s="1057" t="s">
        <v>7756</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7757</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7758</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7759</v>
      </c>
      <c r="D84" s="1057" t="s">
        <v>7760</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7761</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7758</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7762</v>
      </c>
      <c r="D87" s="1057" t="s">
        <v>7763</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7764</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7758</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7765</v>
      </c>
      <c r="D90" s="1057" t="s">
        <v>7766</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7767</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7758</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7768</v>
      </c>
      <c r="D93" s="1057" t="s">
        <v>7769</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7770</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7758</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7771</v>
      </c>
      <c r="D96" s="1057" t="s">
        <v>7772</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7773</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7758</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7774</v>
      </c>
      <c r="D99" s="1057" t="s">
        <v>7775</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7776</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7758</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7777</v>
      </c>
      <c r="D102" s="1057" t="s">
        <v>7778</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7779</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7758</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7780</v>
      </c>
      <c r="D105" s="1057" t="s">
        <v>7781</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7782</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7758</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7783</v>
      </c>
      <c r="D108" s="1057" t="s">
        <v>7784</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7785</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7758</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7786</v>
      </c>
      <c r="D111" s="1057" t="s">
        <v>7787</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7788</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7758</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7789</v>
      </c>
      <c r="D114" s="1057" t="s">
        <v>7790</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7791</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7758</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7792</v>
      </c>
      <c r="D117" s="1057" t="s">
        <v>7793</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7794</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7758</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7795</v>
      </c>
      <c r="D120" s="1057" t="s">
        <v>7796</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7797</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7758</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7798</v>
      </c>
      <c r="D123" s="1057" t="s">
        <v>7799</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7800</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7801</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7802</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7803</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7804</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7805</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7806</v>
      </c>
      <c r="E130" s="1449"/>
      <c r="F130" s="3584"/>
      <c r="G130" s="1561"/>
      <c r="H130" s="4062"/>
      <c r="I130" s="4467"/>
      <c r="J130" s="4599"/>
      <c r="K130" s="52"/>
    </row>
    <row r="131" spans="1:98" s="1277" customFormat="1" ht="27" customHeight="1">
      <c r="A131" s="1560"/>
      <c r="B131" s="1449"/>
      <c r="C131" s="1449"/>
      <c r="D131" s="2597" t="s">
        <v>10425</v>
      </c>
      <c r="E131" s="1449"/>
      <c r="F131" s="1063"/>
      <c r="G131" s="1561"/>
      <c r="H131" s="4062"/>
      <c r="I131" s="4467"/>
      <c r="J131" s="1562"/>
    </row>
    <row r="132" spans="1:98" s="1102" customFormat="1" ht="13.5" customHeight="1">
      <c r="A132" s="1336">
        <v>30</v>
      </c>
      <c r="B132" s="1057">
        <v>751</v>
      </c>
      <c r="C132" s="1057" t="s">
        <v>7807</v>
      </c>
      <c r="D132" s="1057" t="s">
        <v>7808</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7809</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7810</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7811</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7806</v>
      </c>
      <c r="E136" s="1449"/>
      <c r="F136" s="3584"/>
      <c r="G136" s="1561"/>
      <c r="H136" s="4062"/>
      <c r="I136" s="4467"/>
      <c r="J136" s="4599"/>
      <c r="K136" s="52"/>
    </row>
    <row r="137" spans="1:98" s="1102" customFormat="1" ht="13.5" customHeight="1">
      <c r="A137" s="1336">
        <v>31</v>
      </c>
      <c r="B137" s="1057">
        <v>751</v>
      </c>
      <c r="C137" s="1057" t="s">
        <v>7812</v>
      </c>
      <c r="D137" s="1057" t="s">
        <v>7808</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7813</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7810</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7814</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7815</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7806</v>
      </c>
      <c r="E142" s="1449"/>
      <c r="F142" s="3584"/>
      <c r="G142" s="1561"/>
      <c r="H142" s="4062"/>
      <c r="I142" s="4467"/>
      <c r="J142" s="4599"/>
      <c r="K142" s="52"/>
    </row>
    <row r="143" spans="1:98" s="1102" customFormat="1" ht="13.5" customHeight="1">
      <c r="A143" s="1336">
        <v>32</v>
      </c>
      <c r="B143" s="1057">
        <v>751</v>
      </c>
      <c r="C143" s="1057" t="s">
        <v>7816</v>
      </c>
      <c r="D143" s="1057" t="s">
        <v>7817</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7818</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7819</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7820</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7821</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7822</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7823</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7806</v>
      </c>
      <c r="E150" s="1449"/>
      <c r="F150" s="2601"/>
      <c r="G150" s="1561"/>
      <c r="H150" s="4062"/>
      <c r="I150" s="4467"/>
      <c r="J150" s="4599"/>
      <c r="K150" s="52"/>
    </row>
    <row r="151" spans="1:98" s="1277" customFormat="1" ht="27" customHeight="1">
      <c r="A151" s="1560"/>
      <c r="B151" s="1449"/>
      <c r="C151" s="1449"/>
      <c r="D151" s="2597" t="s">
        <v>10425</v>
      </c>
      <c r="E151" s="1449"/>
      <c r="F151" s="1063"/>
      <c r="G151" s="1561"/>
      <c r="H151" s="4062"/>
      <c r="I151" s="4467"/>
      <c r="J151" s="1562"/>
    </row>
    <row r="152" spans="1:98" s="1102" customFormat="1" ht="13.5" customHeight="1">
      <c r="A152" s="1336">
        <v>33</v>
      </c>
      <c r="B152" s="1057">
        <v>751</v>
      </c>
      <c r="C152" s="1057" t="s">
        <v>7824</v>
      </c>
      <c r="D152" s="1057" t="s">
        <v>7817</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7825</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7826</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7819</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7806</v>
      </c>
      <c r="E156" s="1449"/>
      <c r="F156" s="2601"/>
      <c r="G156" s="1561"/>
      <c r="H156" s="4062"/>
      <c r="I156" s="4467"/>
      <c r="J156" s="4599"/>
      <c r="K156" s="52"/>
    </row>
    <row r="157" spans="1:98" s="1277" customFormat="1" ht="27" customHeight="1">
      <c r="A157" s="1560"/>
      <c r="B157" s="1449"/>
      <c r="C157" s="1449"/>
      <c r="D157" s="2597" t="s">
        <v>10425</v>
      </c>
      <c r="E157" s="1449"/>
      <c r="F157" s="1063"/>
      <c r="G157" s="1561"/>
      <c r="H157" s="4062"/>
      <c r="I157" s="4467"/>
      <c r="J157" s="1562"/>
    </row>
    <row r="158" spans="1:98" s="1102" customFormat="1" ht="13.5" customHeight="1">
      <c r="A158" s="1336">
        <v>34</v>
      </c>
      <c r="B158" s="1057">
        <v>751</v>
      </c>
      <c r="C158" s="1057" t="s">
        <v>7827</v>
      </c>
      <c r="D158" s="1057" t="s">
        <v>7828</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7829</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7830</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7831</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7832</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7833</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7834</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7835</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7836</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7837</v>
      </c>
      <c r="D167" s="1057" t="s">
        <v>7838</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7839</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7840</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7841</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7842</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7843</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7844</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7845</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7846</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7847</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7848</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7849</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7850</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7851</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7852</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7853</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7854</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7855</v>
      </c>
      <c r="D184" s="1057" t="s">
        <v>7856</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7857</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7858</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7859</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7860</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7861</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7862</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7863</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7864</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7865</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7866</v>
      </c>
      <c r="D194" s="1057" t="s">
        <v>7867</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7868</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7869</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7870</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7871</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7872</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7873</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7874</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7875</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7876</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7877</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7878</v>
      </c>
      <c r="D205" s="1057" t="s">
        <v>7879</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7880</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7881</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7882</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7883</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7854</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7884</v>
      </c>
      <c r="D211" s="1057" t="s">
        <v>7885</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7886</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7887</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7888</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7889</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7854</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7890</v>
      </c>
      <c r="D217" s="1057" t="s">
        <v>7891</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7892</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7893</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7894</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7895</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7896</v>
      </c>
      <c r="E222" s="1449"/>
      <c r="F222" s="1063"/>
      <c r="G222" s="1561"/>
      <c r="H222" s="4062"/>
      <c r="I222" s="4368"/>
      <c r="J222" s="4855"/>
      <c r="L222" s="2526"/>
      <c r="Q222" s="5019"/>
    </row>
    <row r="223" spans="1:98" s="2599" customFormat="1" ht="13.5" customHeight="1">
      <c r="A223" s="1336"/>
      <c r="B223" s="1056"/>
      <c r="C223" s="1057"/>
      <c r="D223" s="2597" t="s">
        <v>7854</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7897</v>
      </c>
      <c r="D224" s="1057" t="s">
        <v>7898</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7899</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7900</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7901</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7902</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7854</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7903</v>
      </c>
      <c r="D230" s="1057" t="s">
        <v>7904</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7905</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7906</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7907</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7908</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7909</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7910</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7911</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7912</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7913</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7914</v>
      </c>
      <c r="D240" s="1057" t="s">
        <v>7915</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7916</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7917</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7918</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7919</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7920</v>
      </c>
      <c r="D245" s="1057" t="s">
        <v>7921</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7922</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7923</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7924</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7925</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7926</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7927</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7928</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7929</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7930</v>
      </c>
      <c r="D254" s="1057" t="s">
        <v>7931</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7932</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7933</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7854</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7934</v>
      </c>
      <c r="C258" s="1057">
        <v>998751202</v>
      </c>
      <c r="D258" s="1057" t="s">
        <v>7935</v>
      </c>
      <c r="E258" s="1057" t="s">
        <v>8</v>
      </c>
      <c r="F258" s="1071">
        <v>0.55000000000000004</v>
      </c>
      <c r="G258" s="1081"/>
      <c r="H258" s="3789">
        <f>ROUND(F258*G258,2)</f>
        <v>0</v>
      </c>
      <c r="I258" s="1059" t="s">
        <v>142</v>
      </c>
      <c r="J258" s="5262"/>
    </row>
    <row r="259" spans="1:98" customFormat="1" ht="13.5" customHeight="1">
      <c r="A259" s="1336">
        <v>47</v>
      </c>
      <c r="B259" s="339" t="s">
        <v>188</v>
      </c>
      <c r="C259" s="2604" t="s">
        <v>7936</v>
      </c>
      <c r="D259" s="2604" t="s">
        <v>7937</v>
      </c>
      <c r="E259" s="2604" t="s">
        <v>191</v>
      </c>
      <c r="F259" s="1071">
        <f>ROUND(SUM(F260),3)</f>
        <v>20</v>
      </c>
      <c r="G259" s="1058"/>
      <c r="H259" s="3789">
        <f>ROUND(F259*G259,2)</f>
        <v>0</v>
      </c>
      <c r="I259" s="1059" t="s">
        <v>142</v>
      </c>
    </row>
    <row r="260" spans="1:98" customFormat="1" ht="13.5" customHeight="1">
      <c r="A260" s="2435"/>
      <c r="B260" s="2604"/>
      <c r="C260" s="2604"/>
      <c r="D260" s="2605" t="s">
        <v>7938</v>
      </c>
      <c r="E260" s="2604"/>
      <c r="F260" s="2606">
        <v>20</v>
      </c>
      <c r="G260" s="1058"/>
      <c r="H260" s="4063"/>
      <c r="I260" s="2607"/>
    </row>
    <row r="261" spans="1:98" s="1102" customFormat="1" ht="27" customHeight="1">
      <c r="A261" s="2435"/>
      <c r="B261" s="2604"/>
      <c r="C261" s="2604"/>
      <c r="D261" s="2605" t="s">
        <v>7939</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7940</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7934</v>
      </c>
      <c r="C263" s="1057" t="s">
        <v>7941</v>
      </c>
      <c r="D263" s="1057" t="s">
        <v>7942</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6284</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7943</v>
      </c>
      <c r="D265" s="1062" t="s">
        <v>7944</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7945</v>
      </c>
      <c r="D266" s="1258" t="s">
        <v>7946</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7947</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7948</v>
      </c>
      <c r="D268" s="1258" t="s">
        <v>7949</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7950</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7951</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7934</v>
      </c>
      <c r="C271" s="1057" t="s">
        <v>7952</v>
      </c>
      <c r="D271" s="1057" t="s">
        <v>7953</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6284</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7954</v>
      </c>
      <c r="D273" s="1062" t="s">
        <v>7955</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7956</v>
      </c>
      <c r="D274" s="1258" t="s">
        <v>7957</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7958</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7959</v>
      </c>
      <c r="D276" s="1258" t="s">
        <v>7960</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7961</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7962</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7951</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7934</v>
      </c>
      <c r="C280" s="1057" t="s">
        <v>7963</v>
      </c>
      <c r="D280" s="1057" t="s">
        <v>7964</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7965</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7954</v>
      </c>
      <c r="D282" s="1062" t="s">
        <v>11591</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7956</v>
      </c>
      <c r="D283" s="1258" t="s">
        <v>7966</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7967</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7968</v>
      </c>
      <c r="D285" s="1258" t="s">
        <v>7969</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7970</v>
      </c>
      <c r="B286" s="1086"/>
      <c r="C286" s="1089">
        <v>713491111</v>
      </c>
      <c r="D286" s="1062" t="s">
        <v>7971</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7972</v>
      </c>
      <c r="B287" s="2603"/>
      <c r="C287" s="1281">
        <v>13756626</v>
      </c>
      <c r="D287" s="1258" t="s">
        <v>7973</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7974</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7975</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7951</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7976</v>
      </c>
      <c r="E291" s="1449"/>
      <c r="F291" s="1063"/>
      <c r="G291" s="1561"/>
      <c r="H291" s="4062"/>
      <c r="I291" s="4368"/>
      <c r="J291" s="4855"/>
      <c r="L291" s="2526"/>
      <c r="Q291" s="5019"/>
    </row>
    <row r="292" spans="1:69" s="2599" customFormat="1" ht="13.5" customHeight="1">
      <c r="A292" s="1560"/>
      <c r="B292" s="1449"/>
      <c r="C292" s="1449"/>
      <c r="D292" s="2598" t="s">
        <v>7977</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7934</v>
      </c>
      <c r="C293" s="1057" t="s">
        <v>7978</v>
      </c>
      <c r="D293" s="1057" t="s">
        <v>7979</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6284</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7980</v>
      </c>
      <c r="D295" s="1062" t="s">
        <v>7981</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7982</v>
      </c>
      <c r="D296" s="1258" t="s">
        <v>7983</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7984</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7985</v>
      </c>
      <c r="D298" s="1258" t="s">
        <v>7986</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7987</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7988</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7951</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7934</v>
      </c>
      <c r="C302" s="1057" t="s">
        <v>7989</v>
      </c>
      <c r="D302" s="1057" t="s">
        <v>7990</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7965</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7980</v>
      </c>
      <c r="D304" s="1062" t="s">
        <v>7991</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7992</v>
      </c>
      <c r="D305" s="1258" t="s">
        <v>7993</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7994</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7968</v>
      </c>
      <c r="D307" s="1258" t="s">
        <v>7995</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7996</v>
      </c>
      <c r="B308" s="1086"/>
      <c r="C308" s="1089">
        <v>713491111</v>
      </c>
      <c r="D308" s="1062" t="s">
        <v>7997</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7998</v>
      </c>
      <c r="B309" s="2603"/>
      <c r="C309" s="1281">
        <v>13756626</v>
      </c>
      <c r="D309" s="1258" t="s">
        <v>7999</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8000</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7951</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8001</v>
      </c>
      <c r="E312" s="1449"/>
      <c r="F312" s="1063"/>
      <c r="G312" s="1561"/>
      <c r="H312" s="4062"/>
      <c r="I312" s="4368"/>
      <c r="J312" s="4855"/>
      <c r="L312" s="2526"/>
      <c r="Q312" s="5019"/>
    </row>
    <row r="313" spans="1:69" s="2599" customFormat="1" ht="27" customHeight="1">
      <c r="A313" s="1560"/>
      <c r="B313" s="1449"/>
      <c r="C313" s="1449"/>
      <c r="D313" s="2598" t="s">
        <v>8002</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7934</v>
      </c>
      <c r="C314" s="1057" t="s">
        <v>8003</v>
      </c>
      <c r="D314" s="1057" t="s">
        <v>8004</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6284</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8005</v>
      </c>
      <c r="B316" s="1086"/>
      <c r="C316" s="1089" t="s">
        <v>8006</v>
      </c>
      <c r="D316" s="1062" t="s">
        <v>8007</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8008</v>
      </c>
      <c r="B317" s="2603"/>
      <c r="C317" s="1281" t="s">
        <v>8009</v>
      </c>
      <c r="D317" s="1258" t="s">
        <v>8010</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8011</v>
      </c>
      <c r="B318" s="1086"/>
      <c r="C318" s="1089">
        <v>713463131</v>
      </c>
      <c r="D318" s="1062" t="s">
        <v>8012</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8013</v>
      </c>
      <c r="B319" s="2603"/>
      <c r="C319" s="1281" t="s">
        <v>8014</v>
      </c>
      <c r="D319" s="1258" t="s">
        <v>8015</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8016</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7962</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7951</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7934</v>
      </c>
      <c r="C323" s="1057" t="s">
        <v>8017</v>
      </c>
      <c r="D323" s="1057" t="s">
        <v>8018</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7965</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8006</v>
      </c>
      <c r="D325" s="1062" t="s">
        <v>8019</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8009</v>
      </c>
      <c r="D326" s="1258" t="s">
        <v>8020</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8021</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7968</v>
      </c>
      <c r="D328" s="1258" t="s">
        <v>8022</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8023</v>
      </c>
      <c r="B329" s="1086"/>
      <c r="C329" s="1089">
        <v>713491111</v>
      </c>
      <c r="D329" s="1062" t="s">
        <v>8024</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8025</v>
      </c>
      <c r="B330" s="2603"/>
      <c r="C330" s="1281">
        <v>13756626</v>
      </c>
      <c r="D330" s="1258" t="s">
        <v>8026</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7974</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7975</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7951</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8027</v>
      </c>
      <c r="E334" s="1449"/>
      <c r="F334" s="1063"/>
      <c r="G334" s="1561"/>
      <c r="H334" s="4062"/>
      <c r="I334" s="4368"/>
      <c r="J334" s="4855"/>
      <c r="L334" s="2526"/>
      <c r="Q334" s="5019"/>
    </row>
    <row r="335" spans="1:69" s="2599" customFormat="1" ht="13.5" customHeight="1">
      <c r="A335" s="1560"/>
      <c r="B335" s="1449"/>
      <c r="C335" s="1449"/>
      <c r="D335" s="2598" t="s">
        <v>7977</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7934</v>
      </c>
      <c r="C336" s="1057" t="s">
        <v>8028</v>
      </c>
      <c r="D336" s="1057" t="s">
        <v>8029</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6284</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8030</v>
      </c>
      <c r="B338" s="1086"/>
      <c r="C338" s="1089" t="s">
        <v>8031</v>
      </c>
      <c r="D338" s="1062" t="s">
        <v>8032</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8033</v>
      </c>
      <c r="B339" s="2603"/>
      <c r="C339" s="1281" t="s">
        <v>8034</v>
      </c>
      <c r="D339" s="1258" t="s">
        <v>8035</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8036</v>
      </c>
      <c r="B340" s="1086"/>
      <c r="C340" s="1089">
        <v>713463132</v>
      </c>
      <c r="D340" s="1062" t="s">
        <v>8037</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8038</v>
      </c>
      <c r="B341" s="2603"/>
      <c r="C341" s="1281" t="s">
        <v>8039</v>
      </c>
      <c r="D341" s="1258" t="s">
        <v>8040</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8041</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7988</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7951</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7934</v>
      </c>
      <c r="C345" s="1057" t="s">
        <v>8017</v>
      </c>
      <c r="D345" s="1057" t="s">
        <v>8042</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7965</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6285</v>
      </c>
      <c r="B347" s="1086"/>
      <c r="C347" s="1089" t="s">
        <v>8031</v>
      </c>
      <c r="D347" s="1062" t="s">
        <v>8043</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6287</v>
      </c>
      <c r="B348" s="2603"/>
      <c r="C348" s="1281" t="s">
        <v>8034</v>
      </c>
      <c r="D348" s="1258" t="s">
        <v>8044</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6289</v>
      </c>
      <c r="B349" s="1086"/>
      <c r="C349" s="1089">
        <v>713411111</v>
      </c>
      <c r="D349" s="1062" t="s">
        <v>8045</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8046</v>
      </c>
      <c r="B350" s="2603"/>
      <c r="C350" s="1281" t="s">
        <v>7968</v>
      </c>
      <c r="D350" s="1258" t="s">
        <v>8047</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8048</v>
      </c>
      <c r="B351" s="1086"/>
      <c r="C351" s="1089">
        <v>713491111</v>
      </c>
      <c r="D351" s="1062" t="s">
        <v>8049</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8050</v>
      </c>
      <c r="B352" s="2603"/>
      <c r="C352" s="1281">
        <v>13756626</v>
      </c>
      <c r="D352" s="1258" t="s">
        <v>8051</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8000</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7951</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8052</v>
      </c>
      <c r="E355" s="1449"/>
      <c r="F355" s="1063"/>
      <c r="G355" s="1561"/>
      <c r="H355" s="4062"/>
      <c r="I355" s="4368"/>
      <c r="J355" s="4855"/>
      <c r="L355" s="2526"/>
      <c r="Q355" s="5019"/>
    </row>
    <row r="356" spans="1:69" s="2599" customFormat="1" ht="13.5" customHeight="1">
      <c r="A356" s="1560"/>
      <c r="B356" s="1449"/>
      <c r="C356" s="1449"/>
      <c r="D356" s="2598" t="s">
        <v>7977</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7934</v>
      </c>
      <c r="C357" s="1057" t="s">
        <v>8053</v>
      </c>
      <c r="D357" s="1057" t="s">
        <v>8054</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8055</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8056</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8057</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8058</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8059</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8060</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7934</v>
      </c>
      <c r="C364" s="1057">
        <v>751791401</v>
      </c>
      <c r="D364" s="1057" t="s">
        <v>8061</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8062</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8063</v>
      </c>
      <c r="E366" s="1449"/>
      <c r="F366" s="1063"/>
      <c r="G366" s="1561"/>
      <c r="H366" s="4062"/>
      <c r="I366" s="4368"/>
      <c r="J366" s="4855"/>
      <c r="L366" s="2526"/>
      <c r="Q366" s="5019"/>
    </row>
    <row r="367" spans="1:69" customFormat="1" ht="13.5" customHeight="1">
      <c r="A367" s="1336">
        <v>59</v>
      </c>
      <c r="B367" s="1056" t="s">
        <v>7934</v>
      </c>
      <c r="C367" s="1057" t="s">
        <v>8064</v>
      </c>
      <c r="D367" s="1057" t="s">
        <v>8065</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8066</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8067</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6516</v>
      </c>
      <c r="E370" s="1449"/>
      <c r="F370" s="1063"/>
      <c r="G370" s="1561"/>
      <c r="H370" s="4062"/>
      <c r="I370" s="4368"/>
      <c r="J370" s="4855"/>
      <c r="L370" s="2526"/>
      <c r="Q370" s="5019"/>
    </row>
    <row r="371" spans="1:121" s="1061" customFormat="1" ht="13.5" customHeight="1">
      <c r="A371" s="2614">
        <v>60</v>
      </c>
      <c r="B371" s="1057">
        <v>751</v>
      </c>
      <c r="C371" s="1057" t="s">
        <v>8068</v>
      </c>
      <c r="D371" s="2550" t="s">
        <v>6525</v>
      </c>
      <c r="E371" s="2550" t="s">
        <v>23</v>
      </c>
      <c r="F371" s="1071">
        <f>ROUND(SUM(F372),3)</f>
        <v>1</v>
      </c>
      <c r="G371" s="2557"/>
      <c r="H371" s="3789">
        <f>ROUND(F371*G371,2)</f>
        <v>0</v>
      </c>
      <c r="I371" s="1059" t="s">
        <v>60</v>
      </c>
    </row>
    <row r="372" spans="1:121" s="2595" customFormat="1" ht="27" customHeight="1">
      <c r="A372" s="1555"/>
      <c r="B372" s="1086"/>
      <c r="C372" s="1086"/>
      <c r="D372" s="3696" t="s">
        <v>10653</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10476</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10658</v>
      </c>
      <c r="E374" s="4381"/>
      <c r="F374" s="4382"/>
      <c r="G374" s="4369"/>
      <c r="H374" s="4366"/>
      <c r="I374" s="4369"/>
      <c r="J374" s="4855"/>
      <c r="K374" s="4855"/>
      <c r="L374" s="4855"/>
    </row>
    <row r="375" spans="1:121" customFormat="1" ht="13.5" customHeight="1">
      <c r="A375" s="1560"/>
      <c r="B375" s="1449"/>
      <c r="C375" s="1449"/>
      <c r="D375" s="1062" t="s">
        <v>10654</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10655</v>
      </c>
      <c r="D377" s="2550" t="s">
        <v>6531</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8070</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6533</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8172</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8173</v>
      </c>
      <c r="E381" s="4355"/>
      <c r="F381" s="4357"/>
      <c r="G381" s="5248"/>
      <c r="H381" s="4066"/>
      <c r="I381" s="4455"/>
      <c r="J381" s="4600"/>
    </row>
    <row r="382" spans="1:121" s="2303" customFormat="1" ht="40.5" customHeight="1">
      <c r="A382" s="3750"/>
      <c r="B382" s="3695"/>
      <c r="C382" s="3695"/>
      <c r="D382" s="4483" t="s">
        <v>10471</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10460</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8069</v>
      </c>
      <c r="D384" s="2550" t="s">
        <v>6535</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6536</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6537</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10656</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10657</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7934</v>
      </c>
      <c r="C389" s="1057">
        <v>998751202</v>
      </c>
      <c r="D389" s="1057" t="s">
        <v>7935</v>
      </c>
      <c r="E389" s="1057" t="s">
        <v>8</v>
      </c>
      <c r="F389" s="1071">
        <v>0.55000000000000004</v>
      </c>
      <c r="G389" s="1081"/>
      <c r="H389" s="3789">
        <f>ROUND(F389*G389,2)</f>
        <v>0</v>
      </c>
      <c r="I389" s="1059" t="s">
        <v>142</v>
      </c>
      <c r="J389" s="5262"/>
    </row>
    <row r="390" spans="1:256" customFormat="1" ht="13.5" customHeight="1">
      <c r="A390" s="1336">
        <v>64</v>
      </c>
      <c r="B390" s="339" t="s">
        <v>188</v>
      </c>
      <c r="C390" s="2604" t="s">
        <v>7936</v>
      </c>
      <c r="D390" s="2604" t="s">
        <v>7937</v>
      </c>
      <c r="E390" s="2604" t="s">
        <v>191</v>
      </c>
      <c r="F390" s="1071">
        <f>ROUND(SUM(F391),3)</f>
        <v>20</v>
      </c>
      <c r="G390" s="1058"/>
      <c r="H390" s="3789">
        <f>ROUND(F390*G390,2)</f>
        <v>0</v>
      </c>
      <c r="I390" s="1059" t="s">
        <v>142</v>
      </c>
    </row>
    <row r="391" spans="1:256" customFormat="1" ht="13.5" customHeight="1">
      <c r="A391" s="2435"/>
      <c r="B391" s="2604"/>
      <c r="C391" s="2604"/>
      <c r="D391" s="2605" t="s">
        <v>7938</v>
      </c>
      <c r="E391" s="2604"/>
      <c r="F391" s="2606">
        <v>20</v>
      </c>
      <c r="G391" s="1058"/>
      <c r="H391" s="4063"/>
      <c r="I391" s="2607"/>
    </row>
    <row r="392" spans="1:256" s="1102" customFormat="1" ht="27" customHeight="1">
      <c r="A392" s="2435"/>
      <c r="B392" s="2604"/>
      <c r="C392" s="2604"/>
      <c r="D392" s="2605" t="s">
        <v>7939</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8071</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8072</v>
      </c>
      <c r="D394" s="344" t="s">
        <v>8073</v>
      </c>
      <c r="E394" s="344" t="s">
        <v>191</v>
      </c>
      <c r="F394" s="1071">
        <f>ROUND(SUM(F395),3)</f>
        <v>72</v>
      </c>
      <c r="G394" s="331"/>
      <c r="H394" s="3789">
        <f>ROUND(F394*G394,2)</f>
        <v>0</v>
      </c>
      <c r="I394" s="1059" t="s">
        <v>60</v>
      </c>
      <c r="J394" s="5125"/>
    </row>
    <row r="395" spans="1:256" s="245" customFormat="1" ht="54" customHeight="1">
      <c r="A395" s="759"/>
      <c r="B395" s="542"/>
      <c r="C395" s="543"/>
      <c r="D395" s="4466" t="s">
        <v>8074</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8075</v>
      </c>
      <c r="D396" s="344" t="s">
        <v>8076</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8077</v>
      </c>
      <c r="E397" s="344"/>
      <c r="F397" s="552">
        <v>1</v>
      </c>
      <c r="G397" s="331"/>
      <c r="H397" s="4067"/>
      <c r="I397" s="1059"/>
      <c r="J397" s="5123"/>
      <c r="M397" s="5125"/>
    </row>
    <row r="398" spans="1:256" s="245" customFormat="1" ht="27" customHeight="1">
      <c r="A398" s="759"/>
      <c r="B398" s="542"/>
      <c r="C398" s="543"/>
      <c r="D398" s="349" t="s">
        <v>8078</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8079</v>
      </c>
      <c r="D399" s="344" t="s">
        <v>8080</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8081</v>
      </c>
      <c r="E400" s="344"/>
      <c r="F400" s="552">
        <v>1</v>
      </c>
      <c r="G400" s="331"/>
      <c r="H400" s="4067"/>
      <c r="I400" s="1059"/>
      <c r="J400" s="5123"/>
      <c r="M400" s="5125"/>
    </row>
    <row r="401" spans="1:256" s="245" customFormat="1" ht="13.5" customHeight="1">
      <c r="A401" s="759"/>
      <c r="B401" s="542"/>
      <c r="C401" s="543"/>
      <c r="D401" s="349" t="s">
        <v>8082</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7934</v>
      </c>
      <c r="C402" s="2604" t="s">
        <v>8083</v>
      </c>
      <c r="D402" s="344" t="s">
        <v>8084</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8085</v>
      </c>
      <c r="E403" s="344"/>
      <c r="F403" s="1646"/>
      <c r="G403" s="331"/>
      <c r="H403" s="4067"/>
      <c r="I403" s="1059"/>
      <c r="J403" s="5123"/>
      <c r="M403" s="5125"/>
    </row>
    <row r="404" spans="1:256" s="333" customFormat="1" ht="13.5" customHeight="1">
      <c r="A404" s="741"/>
      <c r="B404" s="339"/>
      <c r="C404" s="2604"/>
      <c r="D404" s="349" t="s">
        <v>8086</v>
      </c>
      <c r="E404" s="344"/>
      <c r="F404" s="552">
        <f>(10.4+0.8+0.7)+(2)+(5.1+1.5+1.5+2.9)</f>
        <v>24.9</v>
      </c>
      <c r="G404" s="331"/>
      <c r="H404" s="4067"/>
      <c r="I404" s="1059"/>
      <c r="J404" s="5123"/>
      <c r="M404" s="5125"/>
    </row>
    <row r="405" spans="1:256" s="2613" customFormat="1" ht="27.75" customHeight="1">
      <c r="A405" s="4485"/>
      <c r="B405" s="4486"/>
      <c r="C405" s="4486"/>
      <c r="D405" s="349" t="s">
        <v>8087</v>
      </c>
      <c r="E405" s="4486"/>
      <c r="F405" s="4487"/>
      <c r="G405" s="4488"/>
      <c r="H405" s="4068"/>
      <c r="I405" s="351"/>
      <c r="J405" s="5126"/>
    </row>
    <row r="406" spans="1:256" s="2613" customFormat="1" ht="13.5" customHeight="1">
      <c r="A406" s="4485"/>
      <c r="B406" s="4486"/>
      <c r="C406" s="4486"/>
      <c r="D406" s="4489" t="s">
        <v>8088</v>
      </c>
      <c r="E406" s="344"/>
      <c r="F406" s="1646"/>
      <c r="G406" s="331"/>
      <c r="H406" s="4067"/>
      <c r="I406" s="1059"/>
      <c r="J406" s="5126"/>
    </row>
    <row r="407" spans="1:256" s="333" customFormat="1" ht="13.5" customHeight="1">
      <c r="A407" s="741">
        <v>69</v>
      </c>
      <c r="B407" s="339" t="s">
        <v>7934</v>
      </c>
      <c r="C407" s="2604" t="s">
        <v>8089</v>
      </c>
      <c r="D407" s="344" t="s">
        <v>8090</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8091</v>
      </c>
      <c r="E408" s="344"/>
      <c r="F408" s="1646"/>
      <c r="G408" s="331"/>
      <c r="H408" s="4067"/>
      <c r="I408" s="1059"/>
      <c r="J408" s="5123"/>
      <c r="M408" s="5125"/>
    </row>
    <row r="409" spans="1:256" s="333" customFormat="1" ht="13.5" customHeight="1">
      <c r="A409" s="741"/>
      <c r="B409" s="339"/>
      <c r="C409" s="2604"/>
      <c r="D409" s="349" t="s">
        <v>8092</v>
      </c>
      <c r="E409" s="344"/>
      <c r="F409" s="552">
        <f>(3.5)+(3.8)+(1.7)+(4)+(1.8)+(2)</f>
        <v>16.8</v>
      </c>
      <c r="G409" s="331"/>
      <c r="H409" s="4067"/>
      <c r="I409" s="1059"/>
      <c r="J409" s="5123"/>
      <c r="M409" s="5125"/>
    </row>
    <row r="410" spans="1:256" s="2613" customFormat="1" ht="27.75" customHeight="1">
      <c r="A410" s="4485"/>
      <c r="B410" s="4486"/>
      <c r="C410" s="4486"/>
      <c r="D410" s="349" t="s">
        <v>8087</v>
      </c>
      <c r="E410" s="4486"/>
      <c r="F410" s="4487"/>
      <c r="G410" s="4488"/>
      <c r="H410" s="4068"/>
      <c r="I410" s="351"/>
      <c r="J410" s="5126"/>
    </row>
    <row r="411" spans="1:256" s="2613" customFormat="1" ht="13.5" customHeight="1">
      <c r="A411" s="4485"/>
      <c r="B411" s="4486"/>
      <c r="C411" s="4486"/>
      <c r="D411" s="4489" t="s">
        <v>8088</v>
      </c>
      <c r="E411" s="344"/>
      <c r="F411" s="1646"/>
      <c r="G411" s="331"/>
      <c r="H411" s="4067"/>
      <c r="I411" s="1059"/>
      <c r="J411" s="5126"/>
    </row>
    <row r="412" spans="1:256" s="2595" customFormat="1" ht="13.5" customHeight="1">
      <c r="A412" s="741">
        <v>70</v>
      </c>
      <c r="B412" s="339">
        <v>751</v>
      </c>
      <c r="C412" s="344" t="s">
        <v>8093</v>
      </c>
      <c r="D412" s="2550" t="s">
        <v>8094</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8095</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8096</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8097</v>
      </c>
      <c r="D415" s="1057" t="s">
        <v>8098</v>
      </c>
      <c r="E415" s="2550" t="s">
        <v>23</v>
      </c>
      <c r="F415" s="1071">
        <f>ROUND(SUM(F416),3)</f>
        <v>1</v>
      </c>
      <c r="G415" s="2557"/>
      <c r="H415" s="3789">
        <f>ROUND(F415*G415,2)</f>
        <v>0</v>
      </c>
      <c r="I415" s="2551" t="s">
        <v>60</v>
      </c>
    </row>
    <row r="416" spans="1:256" s="1061" customFormat="1" ht="40.5" customHeight="1">
      <c r="A416" s="1336"/>
      <c r="B416" s="1057"/>
      <c r="C416" s="1057"/>
      <c r="D416" s="1062" t="s">
        <v>8099</v>
      </c>
      <c r="E416" s="4490"/>
      <c r="F416" s="1063">
        <v>1</v>
      </c>
      <c r="G416" s="1058"/>
      <c r="H416" s="4063"/>
      <c r="I416" s="2607"/>
      <c r="J416" s="4855"/>
      <c r="K416" s="5275"/>
    </row>
    <row r="417" spans="1:256" s="245" customFormat="1" ht="67.5" customHeight="1">
      <c r="A417" s="759"/>
      <c r="B417" s="542"/>
      <c r="C417" s="543"/>
      <c r="D417" s="4466" t="s">
        <v>8100</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7934</v>
      </c>
      <c r="C418" s="2550" t="s">
        <v>8101</v>
      </c>
      <c r="D418" s="2550" t="s">
        <v>8102</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6917</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7934</v>
      </c>
      <c r="C420" s="4494" t="s">
        <v>8103</v>
      </c>
      <c r="D420" s="4495" t="s">
        <v>8104</v>
      </c>
      <c r="E420" s="4495" t="s">
        <v>23</v>
      </c>
      <c r="F420" s="1071">
        <f>ROUND(SUM(F421),3)</f>
        <v>1</v>
      </c>
      <c r="G420" s="4496"/>
      <c r="H420" s="3789">
        <f>ROUND(F420*G420,2)</f>
        <v>0</v>
      </c>
      <c r="I420" s="4477" t="s">
        <v>60</v>
      </c>
    </row>
    <row r="421" spans="1:256" s="2308" customFormat="1" ht="27" customHeight="1">
      <c r="A421" s="4497"/>
      <c r="B421" s="4498"/>
      <c r="C421" s="4499"/>
      <c r="D421" s="4500" t="s">
        <v>8105</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7934</v>
      </c>
      <c r="C422" s="1057">
        <v>998751202</v>
      </c>
      <c r="D422" s="1057" t="s">
        <v>7935</v>
      </c>
      <c r="E422" s="1057" t="s">
        <v>8</v>
      </c>
      <c r="F422" s="1071">
        <v>0.55000000000000004</v>
      </c>
      <c r="G422" s="1081"/>
      <c r="H422" s="3789">
        <f>ROUND(F422*G422,2)</f>
        <v>0</v>
      </c>
      <c r="I422" s="1059" t="s">
        <v>142</v>
      </c>
      <c r="J422" s="5262"/>
    </row>
    <row r="423" spans="1:256" customFormat="1" ht="13.5" customHeight="1">
      <c r="A423" s="1336">
        <v>75</v>
      </c>
      <c r="B423" s="339" t="s">
        <v>188</v>
      </c>
      <c r="C423" s="2604" t="s">
        <v>7936</v>
      </c>
      <c r="D423" s="2604" t="s">
        <v>7937</v>
      </c>
      <c r="E423" s="2604" t="s">
        <v>191</v>
      </c>
      <c r="F423" s="1071">
        <f>ROUND(SUM(F424),3)</f>
        <v>20</v>
      </c>
      <c r="G423" s="1058"/>
      <c r="H423" s="3789">
        <f>ROUND(F423*G423,2)</f>
        <v>0</v>
      </c>
      <c r="I423" s="1059" t="s">
        <v>142</v>
      </c>
    </row>
    <row r="424" spans="1:256" customFormat="1" ht="13.5" customHeight="1">
      <c r="A424" s="2435"/>
      <c r="B424" s="2604"/>
      <c r="C424" s="2604"/>
      <c r="D424" s="2605" t="s">
        <v>7938</v>
      </c>
      <c r="E424" s="2604"/>
      <c r="F424" s="2606">
        <v>20</v>
      </c>
      <c r="G424" s="1058"/>
      <c r="H424" s="4063"/>
      <c r="I424" s="2607"/>
    </row>
    <row r="425" spans="1:256" s="1102" customFormat="1" ht="27" customHeight="1">
      <c r="A425" s="2435"/>
      <c r="B425" s="2604"/>
      <c r="C425" s="2604"/>
      <c r="D425" s="2605" t="s">
        <v>7939</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8106</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8107</v>
      </c>
      <c r="D427" s="2616" t="s">
        <v>8108</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8109</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8110</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8111</v>
      </c>
      <c r="B430" s="2627"/>
      <c r="C430" s="1089" t="s">
        <v>8112</v>
      </c>
      <c r="D430" s="1062" t="s">
        <v>8113</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8114</v>
      </c>
      <c r="B431" s="2627"/>
      <c r="C431" s="1089" t="s">
        <v>8115</v>
      </c>
      <c r="D431" s="1062" t="s">
        <v>8116</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8117</v>
      </c>
      <c r="B432" s="2627"/>
      <c r="C432" s="1089">
        <v>713411121</v>
      </c>
      <c r="D432" s="1062" t="s">
        <v>8118</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8119</v>
      </c>
      <c r="B433" s="2627"/>
      <c r="C433" s="1281" t="s">
        <v>8120</v>
      </c>
      <c r="D433" s="1258" t="s">
        <v>8121</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8122</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8123</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8124</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8125</v>
      </c>
      <c r="D437" s="2616" t="s">
        <v>8126</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8127</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8110</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8128</v>
      </c>
      <c r="B440" s="2627"/>
      <c r="C440" s="1089" t="s">
        <v>8129</v>
      </c>
      <c r="D440" s="1062" t="s">
        <v>8130</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8131</v>
      </c>
      <c r="B441" s="2627"/>
      <c r="C441" s="1089" t="s">
        <v>8115</v>
      </c>
      <c r="D441" s="1062" t="s">
        <v>8132</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8133</v>
      </c>
      <c r="B442" s="2627"/>
      <c r="C442" s="1089">
        <v>713411121</v>
      </c>
      <c r="D442" s="1062" t="s">
        <v>8134</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8135</v>
      </c>
      <c r="B443" s="2627"/>
      <c r="C443" s="1281" t="s">
        <v>8120</v>
      </c>
      <c r="D443" s="1258" t="s">
        <v>8136</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8137</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8123</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8138</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8139</v>
      </c>
      <c r="D447" s="2616" t="s">
        <v>8140</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8141</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8110</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8142</v>
      </c>
      <c r="B450" s="2627"/>
      <c r="C450" s="1089" t="s">
        <v>8129</v>
      </c>
      <c r="D450" s="1062" t="s">
        <v>8130</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8143</v>
      </c>
      <c r="B451" s="2627"/>
      <c r="C451" s="1089" t="s">
        <v>8115</v>
      </c>
      <c r="D451" s="1062" t="s">
        <v>8132</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8144</v>
      </c>
      <c r="B452" s="2627"/>
      <c r="C452" s="1089">
        <v>713411121</v>
      </c>
      <c r="D452" s="1062" t="s">
        <v>8145</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8146</v>
      </c>
      <c r="B453" s="2627"/>
      <c r="C453" s="1281" t="s">
        <v>8120</v>
      </c>
      <c r="D453" s="1258" t="s">
        <v>8147</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8148</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8123</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8149</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8150</v>
      </c>
      <c r="D457" s="1057" t="s">
        <v>8151</v>
      </c>
      <c r="E457" s="1057" t="s">
        <v>155</v>
      </c>
      <c r="F457" s="1071">
        <f>ROUND(SUM(F459:F461),3)</f>
        <v>33</v>
      </c>
      <c r="G457" s="1058"/>
      <c r="H457" s="3789">
        <f>ROUND(F457*G457,2)</f>
        <v>0</v>
      </c>
      <c r="I457" s="4477" t="s">
        <v>60</v>
      </c>
      <c r="J457" s="5077"/>
      <c r="Q457" s="5078"/>
    </row>
    <row r="458" spans="1:42" ht="13.5" customHeight="1">
      <c r="A458" s="2628"/>
      <c r="B458" s="2552"/>
      <c r="C458" s="2547"/>
      <c r="D458" s="1062" t="s">
        <v>8152</v>
      </c>
      <c r="E458" s="2547"/>
      <c r="F458" s="2629"/>
      <c r="G458" s="2657"/>
      <c r="H458" s="4073"/>
      <c r="I458" s="2551"/>
      <c r="J458" s="5086"/>
      <c r="K458" s="1061"/>
      <c r="L458" s="4854"/>
      <c r="M458" s="5093"/>
      <c r="P458" s="5094"/>
    </row>
    <row r="459" spans="1:42" ht="13.5" customHeight="1">
      <c r="A459" s="2628"/>
      <c r="B459" s="2552"/>
      <c r="C459" s="2547"/>
      <c r="D459" s="163" t="s">
        <v>6802</v>
      </c>
      <c r="E459" s="163"/>
      <c r="F459" s="200">
        <v>6</v>
      </c>
      <c r="G459" s="2657"/>
      <c r="H459" s="4073"/>
      <c r="I459" s="2551"/>
      <c r="J459" s="5080"/>
      <c r="K459" s="1061"/>
      <c r="L459" s="4598"/>
      <c r="M459" s="5095"/>
      <c r="N459" s="5095"/>
      <c r="O459" s="1061"/>
      <c r="P459" s="5086"/>
    </row>
    <row r="460" spans="1:42" ht="13.5" customHeight="1">
      <c r="A460" s="2628"/>
      <c r="B460" s="2552"/>
      <c r="C460" s="2547"/>
      <c r="D460" s="163" t="s">
        <v>6803</v>
      </c>
      <c r="E460" s="163"/>
      <c r="F460" s="200">
        <v>14</v>
      </c>
      <c r="G460" s="2657"/>
      <c r="H460" s="4073"/>
      <c r="I460" s="2551"/>
      <c r="J460" s="5080"/>
      <c r="K460" s="1061"/>
      <c r="M460" s="5095"/>
      <c r="N460" s="5095"/>
      <c r="O460" s="1061"/>
      <c r="P460" s="5086"/>
    </row>
    <row r="461" spans="1:42" ht="13.5" customHeight="1">
      <c r="A461" s="2628"/>
      <c r="B461" s="2552"/>
      <c r="C461" s="2547"/>
      <c r="D461" s="163" t="s">
        <v>6804</v>
      </c>
      <c r="E461" s="163"/>
      <c r="F461" s="200">
        <v>13</v>
      </c>
      <c r="G461" s="2657"/>
      <c r="H461" s="4073"/>
      <c r="I461" s="2551"/>
      <c r="J461" s="5080"/>
      <c r="K461" s="1061"/>
      <c r="M461" s="5095"/>
      <c r="N461" s="5095"/>
      <c r="O461" s="1061"/>
      <c r="P461" s="5086"/>
    </row>
    <row r="462" spans="1:42" ht="27" customHeight="1">
      <c r="A462" s="2614"/>
      <c r="B462" s="2550"/>
      <c r="C462" s="2550"/>
      <c r="D462" s="1062" t="s">
        <v>8153</v>
      </c>
      <c r="E462" s="2550"/>
      <c r="F462" s="2658"/>
      <c r="G462" s="2657"/>
      <c r="H462" s="3997"/>
      <c r="I462" s="2551"/>
      <c r="L462" s="1070"/>
    </row>
    <row r="463" spans="1:42" ht="13.5" customHeight="1">
      <c r="A463" s="2559">
        <v>80</v>
      </c>
      <c r="B463" s="2550">
        <v>751</v>
      </c>
      <c r="C463" s="2550" t="s">
        <v>8154</v>
      </c>
      <c r="D463" s="1057" t="s">
        <v>8155</v>
      </c>
      <c r="E463" s="1057" t="s">
        <v>155</v>
      </c>
      <c r="F463" s="1071">
        <f>ROUND(SUM(F465:F467),3)</f>
        <v>33</v>
      </c>
      <c r="G463" s="1058"/>
      <c r="H463" s="3789">
        <f>ROUND(F463*G463,2)</f>
        <v>0</v>
      </c>
      <c r="I463" s="4477" t="s">
        <v>60</v>
      </c>
      <c r="J463" s="5077"/>
      <c r="Q463" s="5078"/>
    </row>
    <row r="464" spans="1:42" ht="13.5" customHeight="1">
      <c r="A464" s="2628"/>
      <c r="B464" s="2552"/>
      <c r="C464" s="2547"/>
      <c r="D464" s="1062" t="s">
        <v>8152</v>
      </c>
      <c r="E464" s="2547"/>
      <c r="F464" s="2629"/>
      <c r="G464" s="2657"/>
      <c r="H464" s="4073"/>
      <c r="I464" s="2551"/>
      <c r="J464" s="5086"/>
      <c r="K464" s="1061"/>
      <c r="L464" s="4854"/>
      <c r="M464" s="5093"/>
      <c r="P464" s="5094"/>
    </row>
    <row r="465" spans="1:40" ht="13.5" customHeight="1">
      <c r="A465" s="2628"/>
      <c r="B465" s="2552"/>
      <c r="C465" s="2547"/>
      <c r="D465" s="163" t="s">
        <v>6802</v>
      </c>
      <c r="E465" s="163"/>
      <c r="F465" s="200">
        <v>6</v>
      </c>
      <c r="G465" s="2657"/>
      <c r="H465" s="4073"/>
      <c r="I465" s="2551"/>
      <c r="J465" s="5080"/>
      <c r="K465" s="1061"/>
      <c r="L465" s="4598"/>
      <c r="M465" s="5095"/>
      <c r="N465" s="5095"/>
      <c r="O465" s="1061"/>
      <c r="P465" s="5086"/>
    </row>
    <row r="466" spans="1:40" ht="13.5" customHeight="1">
      <c r="A466" s="2628"/>
      <c r="B466" s="2552"/>
      <c r="C466" s="2547"/>
      <c r="D466" s="163" t="s">
        <v>6803</v>
      </c>
      <c r="E466" s="163"/>
      <c r="F466" s="200">
        <v>14</v>
      </c>
      <c r="G466" s="2657"/>
      <c r="H466" s="4073"/>
      <c r="I466" s="2551"/>
      <c r="J466" s="5080"/>
      <c r="K466" s="1061"/>
      <c r="M466" s="5095"/>
      <c r="N466" s="5095"/>
      <c r="O466" s="1061"/>
      <c r="P466" s="5086"/>
    </row>
    <row r="467" spans="1:40" ht="13.5" customHeight="1">
      <c r="A467" s="2628"/>
      <c r="B467" s="2552"/>
      <c r="C467" s="2547"/>
      <c r="D467" s="163" t="s">
        <v>6804</v>
      </c>
      <c r="E467" s="163"/>
      <c r="F467" s="200">
        <v>13</v>
      </c>
      <c r="G467" s="2657"/>
      <c r="H467" s="4073"/>
      <c r="I467" s="2551"/>
      <c r="J467" s="5080"/>
      <c r="K467" s="1061"/>
      <c r="M467" s="5095"/>
      <c r="N467" s="5095"/>
      <c r="O467" s="1061"/>
      <c r="P467" s="5086"/>
    </row>
    <row r="468" spans="1:40" ht="27" customHeight="1">
      <c r="A468" s="2614"/>
      <c r="B468" s="2550"/>
      <c r="C468" s="2550"/>
      <c r="D468" s="1062" t="s">
        <v>8153</v>
      </c>
      <c r="E468" s="2550"/>
      <c r="F468" s="2658"/>
      <c r="G468" s="2657"/>
      <c r="H468" s="3997"/>
      <c r="I468" s="2551"/>
      <c r="L468" s="1070"/>
    </row>
    <row r="469" spans="1:40" customFormat="1" ht="13.5" customHeight="1">
      <c r="A469" s="1336">
        <v>81</v>
      </c>
      <c r="B469" s="1056" t="s">
        <v>7934</v>
      </c>
      <c r="C469" s="2550" t="s">
        <v>8156</v>
      </c>
      <c r="D469" s="1057" t="s">
        <v>8157</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8158</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6429</v>
      </c>
      <c r="B471" s="1086"/>
      <c r="C471" s="1089">
        <v>763131912</v>
      </c>
      <c r="D471" s="1062" t="s">
        <v>8159</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6430</v>
      </c>
      <c r="B472" s="1086"/>
      <c r="C472" s="1089" t="s">
        <v>8160</v>
      </c>
      <c r="D472" s="1062" t="s">
        <v>8161</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6433</v>
      </c>
      <c r="B473" s="2603"/>
      <c r="C473" s="1281" t="s">
        <v>6448</v>
      </c>
      <c r="D473" s="1258" t="s">
        <v>8162</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6436</v>
      </c>
      <c r="B474" s="1086"/>
      <c r="C474" s="1089" t="s">
        <v>6423</v>
      </c>
      <c r="D474" s="1062" t="s">
        <v>6424</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8163</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8164</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8165</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6426</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7934</v>
      </c>
      <c r="C479" s="2550" t="s">
        <v>8166</v>
      </c>
      <c r="D479" s="1057" t="s">
        <v>8167</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8168</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8169</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6516</v>
      </c>
      <c r="E482" s="1449"/>
      <c r="F482" s="1063"/>
      <c r="G482" s="1561"/>
      <c r="H482" s="4062"/>
      <c r="I482" s="4368"/>
      <c r="J482" s="4855"/>
      <c r="L482" s="2526"/>
      <c r="Q482" s="5019"/>
    </row>
    <row r="483" spans="1:98" customFormat="1" ht="13.5" customHeight="1">
      <c r="A483" s="2655"/>
      <c r="B483" s="1449"/>
      <c r="C483" s="1449"/>
      <c r="D483" s="1407" t="s">
        <v>6517</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7934</v>
      </c>
      <c r="C484" s="1057">
        <v>998751202</v>
      </c>
      <c r="D484" s="1057" t="s">
        <v>7935</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7936</v>
      </c>
      <c r="D485" s="2604" t="s">
        <v>7937</v>
      </c>
      <c r="E485" s="2604" t="s">
        <v>191</v>
      </c>
      <c r="F485" s="1071">
        <f>ROUND(SUM(F486),3)</f>
        <v>20</v>
      </c>
      <c r="G485" s="1058"/>
      <c r="H485" s="3789">
        <f>ROUND(F485*G485,2)</f>
        <v>0</v>
      </c>
      <c r="I485" s="1059" t="s">
        <v>142</v>
      </c>
    </row>
    <row r="486" spans="1:98" customFormat="1" ht="13.5" customHeight="1">
      <c r="A486" s="2435"/>
      <c r="B486" s="2604"/>
      <c r="C486" s="2604"/>
      <c r="D486" s="2605" t="s">
        <v>7938</v>
      </c>
      <c r="E486" s="2604"/>
      <c r="F486" s="2606">
        <v>20</v>
      </c>
      <c r="G486" s="1058"/>
      <c r="H486" s="4063"/>
      <c r="I486" s="2607"/>
    </row>
    <row r="487" spans="1:98" s="1102" customFormat="1" ht="27" customHeight="1">
      <c r="A487" s="2435"/>
      <c r="B487" s="2604"/>
      <c r="C487" s="2604"/>
      <c r="D487" s="2605" t="s">
        <v>7939</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903" t="s">
        <v>99</v>
      </c>
      <c r="B490" s="5904"/>
      <c r="C490" s="5905"/>
      <c r="D490" s="2642" t="s">
        <v>10503</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814" t="s">
        <v>8170</v>
      </c>
      <c r="B493" s="5814"/>
      <c r="C493" s="5814"/>
      <c r="D493" s="5814"/>
      <c r="E493" s="5814"/>
      <c r="F493" s="5814"/>
      <c r="G493" s="5814"/>
      <c r="H493" s="48"/>
      <c r="I493" s="53"/>
    </row>
    <row r="494" spans="1:98" ht="93.75" customHeight="1">
      <c r="A494" s="5814" t="s">
        <v>26</v>
      </c>
      <c r="B494" s="5814"/>
      <c r="C494" s="5814"/>
      <c r="D494" s="5814"/>
      <c r="E494" s="5814"/>
      <c r="F494" s="5814"/>
      <c r="G494" s="5814"/>
      <c r="H494" s="48"/>
      <c r="I494" s="48"/>
    </row>
    <row r="495" spans="1:98" ht="13.5" customHeight="1">
      <c r="A495" s="5814" t="s">
        <v>27</v>
      </c>
      <c r="B495" s="5814"/>
      <c r="C495" s="5814"/>
      <c r="D495" s="5814"/>
      <c r="E495" s="5814"/>
      <c r="F495" s="5814"/>
      <c r="G495" s="5814"/>
      <c r="H495" s="318"/>
      <c r="I495" s="318"/>
    </row>
    <row r="496" spans="1:98" ht="13.5" customHeight="1">
      <c r="A496" s="5814" t="s">
        <v>28</v>
      </c>
      <c r="B496" s="5814"/>
      <c r="C496" s="5814"/>
      <c r="D496" s="5814"/>
      <c r="E496" s="5814"/>
      <c r="F496" s="5814"/>
      <c r="G496" s="5814"/>
      <c r="H496" s="318"/>
      <c r="I496" s="318"/>
    </row>
    <row r="497" spans="1:9" ht="27" customHeight="1">
      <c r="A497" s="5816" t="s">
        <v>8171</v>
      </c>
      <c r="B497" s="5816"/>
      <c r="C497" s="5816"/>
      <c r="D497" s="5816"/>
      <c r="E497" s="5816"/>
      <c r="F497" s="5816"/>
      <c r="G497" s="5816"/>
      <c r="H497" s="318"/>
      <c r="I497" s="318"/>
    </row>
    <row r="498" spans="1:9" ht="40.5" customHeight="1">
      <c r="A498" s="5816" t="s">
        <v>61</v>
      </c>
      <c r="B498" s="5816"/>
      <c r="C498" s="5816"/>
      <c r="D498" s="5816"/>
      <c r="E498" s="5816"/>
      <c r="F498" s="5816"/>
      <c r="G498" s="5816"/>
      <c r="I498" s="53"/>
    </row>
    <row r="499" spans="1:9" ht="11.25">
      <c r="A499" s="5814"/>
      <c r="B499" s="5906"/>
      <c r="C499" s="5906"/>
      <c r="D499" s="5906"/>
      <c r="E499" s="5906"/>
      <c r="F499" s="5906"/>
      <c r="G499" s="5906"/>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913" t="s">
        <v>112</v>
      </c>
      <c r="B2" s="5914"/>
      <c r="C2" s="5914"/>
      <c r="D2" s="5914"/>
      <c r="E2" s="5914"/>
      <c r="F2" s="5914"/>
      <c r="G2" s="5914"/>
      <c r="H2" s="5914"/>
      <c r="I2" s="5914"/>
      <c r="J2" s="5914"/>
      <c r="K2" s="2563"/>
      <c r="L2" s="2457"/>
      <c r="M2" s="2457"/>
      <c r="N2" s="2457"/>
      <c r="O2" s="2457"/>
      <c r="P2" s="2458"/>
      <c r="Q2" s="2458"/>
      <c r="R2" s="5330"/>
      <c r="S2" s="2457"/>
      <c r="T2" s="2457"/>
      <c r="U2" s="2457"/>
    </row>
    <row r="3" spans="1:22" s="2659" customFormat="1" ht="13.5" customHeight="1">
      <c r="A3" s="2660" t="s">
        <v>8174</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10491</v>
      </c>
      <c r="I5" s="3786" t="s">
        <v>10492</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10489</v>
      </c>
      <c r="I6" s="3786" t="s">
        <v>10490</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8175</v>
      </c>
      <c r="E8" s="2547"/>
      <c r="F8" s="2629"/>
      <c r="G8" s="3586"/>
      <c r="H8" s="4074">
        <f>SUM(H9:H162)</f>
        <v>0</v>
      </c>
      <c r="I8" s="4115">
        <f>SUM(I9:I162)</f>
        <v>0</v>
      </c>
      <c r="J8" s="2548"/>
      <c r="R8" s="2458"/>
      <c r="S8" s="2457"/>
      <c r="T8" s="2457"/>
      <c r="U8" s="2457"/>
    </row>
    <row r="9" spans="1:22" s="2457" customFormat="1" ht="13.5" customHeight="1">
      <c r="A9" s="2614">
        <v>1</v>
      </c>
      <c r="B9" s="2469">
        <v>741</v>
      </c>
      <c r="C9" s="2469" t="s">
        <v>7128</v>
      </c>
      <c r="D9" s="2469" t="s">
        <v>8176</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8177</v>
      </c>
      <c r="E10" s="3587"/>
      <c r="F10" s="3588"/>
      <c r="G10" s="2471"/>
      <c r="H10" s="4075"/>
      <c r="I10" s="4116"/>
      <c r="J10" s="2470"/>
      <c r="K10" s="2526"/>
      <c r="P10" s="2458"/>
      <c r="Q10" s="2458"/>
      <c r="R10" s="2458"/>
      <c r="U10" s="2459"/>
    </row>
    <row r="11" spans="1:22" s="2560" customFormat="1" ht="13.5" customHeight="1">
      <c r="A11" s="4361"/>
      <c r="B11" s="2469"/>
      <c r="C11" s="2469"/>
      <c r="D11" s="4463" t="s">
        <v>6523</v>
      </c>
      <c r="E11" s="2469"/>
      <c r="F11" s="4464">
        <v>34</v>
      </c>
      <c r="G11" s="2471"/>
      <c r="H11" s="4075"/>
      <c r="I11" s="4116"/>
      <c r="J11" s="2470"/>
      <c r="L11" s="2457"/>
      <c r="P11" s="2458"/>
      <c r="Q11" s="2458"/>
      <c r="R11" s="2458"/>
    </row>
    <row r="12" spans="1:22" s="2560" customFormat="1" ht="13.5" customHeight="1">
      <c r="A12" s="4361"/>
      <c r="B12" s="2469"/>
      <c r="C12" s="2469"/>
      <c r="D12" s="4463" t="s">
        <v>6519</v>
      </c>
      <c r="E12" s="2469"/>
      <c r="F12" s="4464">
        <v>4</v>
      </c>
      <c r="G12" s="2471"/>
      <c r="H12" s="4075"/>
      <c r="I12" s="4116"/>
      <c r="J12" s="2470"/>
      <c r="L12" s="2457"/>
      <c r="P12" s="2458"/>
      <c r="Q12" s="2458"/>
      <c r="R12" s="2458"/>
    </row>
    <row r="13" spans="1:22" s="2560" customFormat="1" ht="13.5" customHeight="1">
      <c r="A13" s="4361"/>
      <c r="B13" s="2469"/>
      <c r="C13" s="2469"/>
      <c r="D13" s="4463" t="s">
        <v>6520</v>
      </c>
      <c r="E13" s="2469"/>
      <c r="F13" s="4464">
        <v>5</v>
      </c>
      <c r="G13" s="2471"/>
      <c r="H13" s="4075"/>
      <c r="I13" s="4116"/>
      <c r="J13" s="2470"/>
      <c r="L13" s="2457"/>
      <c r="P13" s="2458"/>
      <c r="Q13" s="2458"/>
      <c r="R13" s="2458"/>
    </row>
    <row r="14" spans="1:22" s="2560" customFormat="1" ht="13.5" customHeight="1">
      <c r="A14" s="4361"/>
      <c r="B14" s="2469"/>
      <c r="C14" s="2469"/>
      <c r="D14" s="4463" t="s">
        <v>6521</v>
      </c>
      <c r="E14" s="2469"/>
      <c r="F14" s="4464">
        <v>5</v>
      </c>
      <c r="G14" s="2471"/>
      <c r="H14" s="4075"/>
      <c r="I14" s="4116"/>
      <c r="J14" s="2470"/>
      <c r="L14" s="2457"/>
      <c r="P14" s="2458"/>
      <c r="Q14" s="2458"/>
      <c r="R14" s="2458"/>
    </row>
    <row r="15" spans="1:22" s="2457" customFormat="1" ht="13.5" customHeight="1">
      <c r="A15" s="4462"/>
      <c r="B15" s="2469"/>
      <c r="C15" s="2469"/>
      <c r="D15" s="4360" t="s">
        <v>8377</v>
      </c>
      <c r="E15" s="3587"/>
      <c r="F15" s="4464"/>
      <c r="G15" s="2471"/>
      <c r="H15" s="4075"/>
      <c r="I15" s="4116"/>
      <c r="J15" s="2470"/>
      <c r="N15" s="2474"/>
      <c r="P15" s="2458"/>
      <c r="Q15" s="5334"/>
      <c r="R15" s="2458"/>
    </row>
    <row r="16" spans="1:22" s="2457" customFormat="1" ht="13.5" customHeight="1">
      <c r="A16" s="2614">
        <v>2</v>
      </c>
      <c r="B16" s="2469">
        <v>741</v>
      </c>
      <c r="C16" s="2469" t="s">
        <v>7133</v>
      </c>
      <c r="D16" s="2469" t="s">
        <v>8179</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8180</v>
      </c>
      <c r="E17" s="3587"/>
      <c r="F17" s="3588"/>
      <c r="G17" s="2471"/>
      <c r="H17" s="4075"/>
      <c r="I17" s="4116"/>
      <c r="J17" s="2470"/>
      <c r="K17" s="2526"/>
      <c r="P17" s="2458"/>
      <c r="Q17" s="2458"/>
      <c r="R17" s="2458"/>
      <c r="U17" s="2459"/>
    </row>
    <row r="18" spans="1:21" s="2560" customFormat="1" ht="13.5" customHeight="1">
      <c r="A18" s="4361"/>
      <c r="B18" s="2469"/>
      <c r="C18" s="2469"/>
      <c r="D18" s="4463" t="s">
        <v>6523</v>
      </c>
      <c r="E18" s="2469"/>
      <c r="F18" s="4464">
        <v>15</v>
      </c>
      <c r="G18" s="2471"/>
      <c r="H18" s="4075"/>
      <c r="I18" s="4116"/>
      <c r="J18" s="2470"/>
      <c r="L18" s="2457"/>
      <c r="P18" s="2458"/>
      <c r="Q18" s="2458"/>
      <c r="R18" s="2458"/>
    </row>
    <row r="19" spans="1:21" s="2560" customFormat="1" ht="13.5" customHeight="1">
      <c r="A19" s="4361"/>
      <c r="B19" s="2469"/>
      <c r="C19" s="2469"/>
      <c r="D19" s="4463" t="s">
        <v>6519</v>
      </c>
      <c r="E19" s="2469"/>
      <c r="F19" s="4464">
        <v>1</v>
      </c>
      <c r="G19" s="2471"/>
      <c r="H19" s="4075"/>
      <c r="I19" s="4116"/>
      <c r="J19" s="2470"/>
      <c r="L19" s="2457"/>
      <c r="P19" s="2458"/>
      <c r="Q19" s="2458"/>
      <c r="R19" s="2458"/>
    </row>
    <row r="20" spans="1:21" s="2560" customFormat="1" ht="13.5" customHeight="1">
      <c r="A20" s="4361"/>
      <c r="B20" s="2469"/>
      <c r="C20" s="2469"/>
      <c r="D20" s="4463" t="s">
        <v>6520</v>
      </c>
      <c r="E20" s="2469"/>
      <c r="F20" s="4464">
        <v>4</v>
      </c>
      <c r="G20" s="2471"/>
      <c r="H20" s="4075"/>
      <c r="I20" s="4116"/>
      <c r="J20" s="2470"/>
      <c r="L20" s="2457"/>
      <c r="P20" s="2458"/>
      <c r="Q20" s="2458"/>
      <c r="R20" s="2458"/>
    </row>
    <row r="21" spans="1:21" s="2560" customFormat="1" ht="13.5" customHeight="1">
      <c r="A21" s="4361"/>
      <c r="B21" s="2469"/>
      <c r="C21" s="2469"/>
      <c r="D21" s="4463" t="s">
        <v>6521</v>
      </c>
      <c r="E21" s="2469"/>
      <c r="F21" s="4464">
        <v>4</v>
      </c>
      <c r="G21" s="2471"/>
      <c r="H21" s="4075"/>
      <c r="I21" s="4116"/>
      <c r="J21" s="2470"/>
      <c r="L21" s="2457"/>
      <c r="P21" s="2458"/>
      <c r="Q21" s="2458"/>
      <c r="R21" s="2458"/>
    </row>
    <row r="22" spans="1:21" s="2457" customFormat="1" ht="13.5" customHeight="1">
      <c r="A22" s="4462"/>
      <c r="B22" s="2469"/>
      <c r="C22" s="2469"/>
      <c r="D22" s="4360" t="s">
        <v>8377</v>
      </c>
      <c r="E22" s="3587"/>
      <c r="F22" s="4464"/>
      <c r="G22" s="2471"/>
      <c r="H22" s="4075"/>
      <c r="I22" s="4116"/>
      <c r="J22" s="2470"/>
      <c r="N22" s="2474"/>
      <c r="P22" s="2458"/>
      <c r="Q22" s="5334"/>
      <c r="R22" s="2458"/>
    </row>
    <row r="23" spans="1:21" s="2457" customFormat="1" ht="13.5" customHeight="1">
      <c r="A23" s="2614">
        <v>3</v>
      </c>
      <c r="B23" s="2469">
        <v>741</v>
      </c>
      <c r="C23" s="2469" t="s">
        <v>8181</v>
      </c>
      <c r="D23" s="2469" t="s">
        <v>8182</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8183</v>
      </c>
      <c r="E24" s="3587"/>
      <c r="F24" s="3588"/>
      <c r="G24" s="2471"/>
      <c r="H24" s="4075"/>
      <c r="I24" s="4116"/>
      <c r="J24" s="2470"/>
      <c r="K24" s="2526"/>
      <c r="O24" s="5335"/>
      <c r="P24" s="2458"/>
      <c r="Q24" s="2458"/>
      <c r="R24" s="2458"/>
      <c r="U24" s="2459"/>
    </row>
    <row r="25" spans="1:21" s="2457" customFormat="1" ht="13.5" customHeight="1">
      <c r="A25" s="4462"/>
      <c r="B25" s="2469"/>
      <c r="C25" s="2469"/>
      <c r="D25" s="4463" t="s">
        <v>6523</v>
      </c>
      <c r="E25" s="2469"/>
      <c r="F25" s="4464">
        <v>1</v>
      </c>
      <c r="G25" s="2471"/>
      <c r="H25" s="4075"/>
      <c r="I25" s="4116"/>
      <c r="J25" s="2470"/>
      <c r="N25" s="2474"/>
      <c r="P25" s="2458"/>
      <c r="Q25" s="5334"/>
      <c r="R25" s="2458"/>
    </row>
    <row r="26" spans="1:21" s="2457" customFormat="1" ht="13.5" customHeight="1">
      <c r="A26" s="4462"/>
      <c r="B26" s="2469"/>
      <c r="C26" s="2469"/>
      <c r="D26" s="4463" t="s">
        <v>6519</v>
      </c>
      <c r="E26" s="2469"/>
      <c r="F26" s="4464">
        <v>48</v>
      </c>
      <c r="G26" s="2471"/>
      <c r="H26" s="4075"/>
      <c r="I26" s="4116"/>
      <c r="J26" s="2470"/>
      <c r="N26" s="2474"/>
      <c r="P26" s="2458"/>
      <c r="Q26" s="5334"/>
      <c r="R26" s="2458"/>
    </row>
    <row r="27" spans="1:21" s="2457" customFormat="1" ht="13.5" customHeight="1">
      <c r="A27" s="4462"/>
      <c r="B27" s="2469"/>
      <c r="C27" s="2469"/>
      <c r="D27" s="4463" t="s">
        <v>6520</v>
      </c>
      <c r="E27" s="2469"/>
      <c r="F27" s="4464">
        <v>46</v>
      </c>
      <c r="G27" s="2471"/>
      <c r="H27" s="4075"/>
      <c r="I27" s="4116"/>
      <c r="J27" s="2470"/>
      <c r="N27" s="2474"/>
      <c r="P27" s="2458"/>
      <c r="Q27" s="5334"/>
      <c r="R27" s="2458"/>
    </row>
    <row r="28" spans="1:21" s="2457" customFormat="1" ht="13.5" customHeight="1">
      <c r="A28" s="4462"/>
      <c r="B28" s="2469"/>
      <c r="C28" s="2469"/>
      <c r="D28" s="4463" t="s">
        <v>6521</v>
      </c>
      <c r="E28" s="2469"/>
      <c r="F28" s="4464">
        <v>48</v>
      </c>
      <c r="G28" s="2471"/>
      <c r="H28" s="4075"/>
      <c r="I28" s="4116"/>
      <c r="J28" s="2470"/>
      <c r="N28" s="2474"/>
      <c r="P28" s="2458"/>
      <c r="Q28" s="5334"/>
      <c r="R28" s="2458"/>
    </row>
    <row r="29" spans="1:21" s="2457" customFormat="1" ht="13.5" customHeight="1">
      <c r="A29" s="4462"/>
      <c r="B29" s="2469"/>
      <c r="C29" s="2469"/>
      <c r="D29" s="4360" t="s">
        <v>8377</v>
      </c>
      <c r="E29" s="3587"/>
      <c r="F29" s="4464"/>
      <c r="G29" s="2471"/>
      <c r="H29" s="4075"/>
      <c r="I29" s="4116"/>
      <c r="J29" s="2470"/>
      <c r="N29" s="2474"/>
      <c r="P29" s="2458"/>
      <c r="Q29" s="5334"/>
      <c r="R29" s="2458"/>
    </row>
    <row r="30" spans="1:21" s="2457" customFormat="1" ht="13.5" customHeight="1">
      <c r="A30" s="2614">
        <v>4</v>
      </c>
      <c r="B30" s="2469">
        <v>741</v>
      </c>
      <c r="C30" s="2469" t="s">
        <v>8184</v>
      </c>
      <c r="D30" s="2469" t="s">
        <v>8378</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8185</v>
      </c>
      <c r="E31" s="3587"/>
      <c r="F31" s="3588"/>
      <c r="G31" s="2471"/>
      <c r="H31" s="4075"/>
      <c r="I31" s="4116"/>
      <c r="J31" s="2470"/>
      <c r="K31" s="2456"/>
      <c r="O31" s="5335"/>
      <c r="P31" s="2458"/>
      <c r="Q31" s="2458"/>
      <c r="R31" s="2458"/>
      <c r="U31" s="2459"/>
    </row>
    <row r="32" spans="1:21" s="2457" customFormat="1" ht="13.5" customHeight="1">
      <c r="A32" s="4462"/>
      <c r="B32" s="2469"/>
      <c r="C32" s="2469"/>
      <c r="D32" s="4463" t="s">
        <v>6519</v>
      </c>
      <c r="E32" s="2469"/>
      <c r="F32" s="4464">
        <v>24</v>
      </c>
      <c r="G32" s="2471"/>
      <c r="H32" s="4075"/>
      <c r="I32" s="4116"/>
      <c r="J32" s="2470"/>
      <c r="P32" s="2458"/>
      <c r="Q32" s="2458"/>
      <c r="R32" s="2458"/>
    </row>
    <row r="33" spans="1:21" s="2457" customFormat="1" ht="13.5" customHeight="1">
      <c r="A33" s="4462"/>
      <c r="B33" s="2469"/>
      <c r="C33" s="2469"/>
      <c r="D33" s="4463" t="s">
        <v>6520</v>
      </c>
      <c r="E33" s="2469"/>
      <c r="F33" s="4464">
        <v>30</v>
      </c>
      <c r="G33" s="2471"/>
      <c r="H33" s="4075"/>
      <c r="I33" s="4116"/>
      <c r="J33" s="2470"/>
      <c r="P33" s="2458"/>
      <c r="Q33" s="2458"/>
      <c r="R33" s="2458"/>
    </row>
    <row r="34" spans="1:21" s="2457" customFormat="1" ht="13.5" customHeight="1">
      <c r="A34" s="4462"/>
      <c r="B34" s="2469"/>
      <c r="C34" s="2469"/>
      <c r="D34" s="4463" t="s">
        <v>6521</v>
      </c>
      <c r="E34" s="2469"/>
      <c r="F34" s="4464">
        <v>28</v>
      </c>
      <c r="G34" s="2471"/>
      <c r="H34" s="4075"/>
      <c r="I34" s="4116"/>
      <c r="J34" s="2470"/>
      <c r="P34" s="2458"/>
      <c r="Q34" s="2458"/>
      <c r="R34" s="2458"/>
    </row>
    <row r="35" spans="1:21" s="2457" customFormat="1" ht="13.5" customHeight="1">
      <c r="A35" s="4462"/>
      <c r="B35" s="2469"/>
      <c r="C35" s="2469"/>
      <c r="D35" s="4360" t="s">
        <v>8377</v>
      </c>
      <c r="E35" s="3587"/>
      <c r="F35" s="4464"/>
      <c r="G35" s="2471"/>
      <c r="H35" s="4075"/>
      <c r="I35" s="4116"/>
      <c r="J35" s="2470"/>
      <c r="N35" s="2474"/>
      <c r="P35" s="2458"/>
      <c r="Q35" s="5334"/>
      <c r="R35" s="2458"/>
    </row>
    <row r="36" spans="1:21" s="2457" customFormat="1" ht="13.5" customHeight="1">
      <c r="A36" s="2614">
        <v>5</v>
      </c>
      <c r="B36" s="2469">
        <v>741</v>
      </c>
      <c r="C36" s="2469" t="s">
        <v>8186</v>
      </c>
      <c r="D36" s="2469" t="s">
        <v>8187</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8188</v>
      </c>
      <c r="E37" s="3587"/>
      <c r="F37" s="3588"/>
      <c r="G37" s="2471"/>
      <c r="H37" s="4075"/>
      <c r="I37" s="4116"/>
      <c r="J37" s="2470"/>
      <c r="K37" s="2526"/>
      <c r="P37" s="2458"/>
      <c r="Q37" s="2458"/>
      <c r="R37" s="2458"/>
      <c r="U37" s="2459"/>
    </row>
    <row r="38" spans="1:21" s="2457" customFormat="1" ht="13.5" customHeight="1">
      <c r="A38" s="4462"/>
      <c r="B38" s="2469"/>
      <c r="C38" s="2469"/>
      <c r="D38" s="4463" t="s">
        <v>6519</v>
      </c>
      <c r="E38" s="2469"/>
      <c r="F38" s="4464">
        <v>30</v>
      </c>
      <c r="G38" s="2471"/>
      <c r="H38" s="4075"/>
      <c r="I38" s="4116"/>
      <c r="J38" s="2470"/>
      <c r="P38" s="2458"/>
      <c r="Q38" s="2458"/>
      <c r="R38" s="2458"/>
    </row>
    <row r="39" spans="1:21" s="2457" customFormat="1" ht="13.5" customHeight="1">
      <c r="A39" s="4462"/>
      <c r="B39" s="2469"/>
      <c r="C39" s="2469"/>
      <c r="D39" s="4463" t="s">
        <v>6520</v>
      </c>
      <c r="E39" s="2469"/>
      <c r="F39" s="4464">
        <v>8</v>
      </c>
      <c r="G39" s="2471"/>
      <c r="H39" s="4075"/>
      <c r="I39" s="4116"/>
      <c r="J39" s="2470"/>
      <c r="P39" s="2458"/>
      <c r="Q39" s="2458"/>
      <c r="R39" s="2458"/>
    </row>
    <row r="40" spans="1:21" s="2560" customFormat="1" ht="13.5" customHeight="1">
      <c r="A40" s="4361"/>
      <c r="B40" s="2469"/>
      <c r="C40" s="2469"/>
      <c r="D40" s="4463" t="s">
        <v>6521</v>
      </c>
      <c r="E40" s="2469"/>
      <c r="F40" s="4464">
        <v>8</v>
      </c>
      <c r="G40" s="2471"/>
      <c r="H40" s="4075"/>
      <c r="I40" s="4116"/>
      <c r="J40" s="2470"/>
      <c r="L40" s="2457"/>
      <c r="P40" s="2458"/>
      <c r="Q40" s="2458"/>
      <c r="R40" s="2458"/>
    </row>
    <row r="41" spans="1:21" s="2457" customFormat="1" ht="13.5" customHeight="1">
      <c r="A41" s="4462"/>
      <c r="B41" s="2469"/>
      <c r="C41" s="2469"/>
      <c r="D41" s="4360" t="s">
        <v>8377</v>
      </c>
      <c r="E41" s="3587"/>
      <c r="F41" s="4464"/>
      <c r="G41" s="2471"/>
      <c r="H41" s="4075"/>
      <c r="I41" s="4116"/>
      <c r="J41" s="2470"/>
      <c r="N41" s="2474"/>
      <c r="P41" s="2458"/>
      <c r="Q41" s="5334"/>
      <c r="R41" s="2458"/>
    </row>
    <row r="42" spans="1:21" s="2457" customFormat="1" ht="13.5" customHeight="1">
      <c r="A42" s="2614">
        <v>6</v>
      </c>
      <c r="B42" s="2469">
        <v>741</v>
      </c>
      <c r="C42" s="2469" t="s">
        <v>8189</v>
      </c>
      <c r="D42" s="2469" t="s">
        <v>8190</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8191</v>
      </c>
      <c r="E43" s="3587"/>
      <c r="F43" s="3588"/>
      <c r="G43" s="2471"/>
      <c r="H43" s="4075"/>
      <c r="I43" s="4116"/>
      <c r="J43" s="2470"/>
      <c r="K43" s="2526"/>
      <c r="O43" s="5335"/>
      <c r="P43" s="2458"/>
      <c r="Q43" s="2458"/>
      <c r="R43" s="2458"/>
      <c r="U43" s="2459"/>
    </row>
    <row r="44" spans="1:21" s="2560" customFormat="1" ht="13.5" customHeight="1">
      <c r="A44" s="4361"/>
      <c r="B44" s="2469"/>
      <c r="C44" s="2469"/>
      <c r="D44" s="4463" t="s">
        <v>6519</v>
      </c>
      <c r="E44" s="2469"/>
      <c r="F44" s="4464">
        <v>6</v>
      </c>
      <c r="G44" s="2471"/>
      <c r="H44" s="4075"/>
      <c r="I44" s="4116"/>
      <c r="J44" s="2470"/>
      <c r="L44" s="2457"/>
      <c r="P44" s="2458"/>
      <c r="Q44" s="2458"/>
      <c r="R44" s="2458"/>
    </row>
    <row r="45" spans="1:21" s="2560" customFormat="1" ht="13.5" customHeight="1">
      <c r="A45" s="4361"/>
      <c r="B45" s="2469"/>
      <c r="C45" s="2469"/>
      <c r="D45" s="4463" t="s">
        <v>6520</v>
      </c>
      <c r="E45" s="2469"/>
      <c r="F45" s="4464">
        <v>26</v>
      </c>
      <c r="G45" s="2471"/>
      <c r="H45" s="4075"/>
      <c r="I45" s="4116"/>
      <c r="J45" s="2470"/>
      <c r="L45" s="2457"/>
      <c r="P45" s="2458"/>
      <c r="Q45" s="2458"/>
      <c r="R45" s="2458"/>
    </row>
    <row r="46" spans="1:21" s="2560" customFormat="1" ht="13.5" customHeight="1">
      <c r="A46" s="4361"/>
      <c r="B46" s="2469"/>
      <c r="C46" s="2469"/>
      <c r="D46" s="4463" t="s">
        <v>6521</v>
      </c>
      <c r="E46" s="2469"/>
      <c r="F46" s="4464">
        <v>26</v>
      </c>
      <c r="G46" s="2471"/>
      <c r="H46" s="4075"/>
      <c r="I46" s="4116"/>
      <c r="J46" s="2470"/>
      <c r="L46" s="2457"/>
      <c r="P46" s="2458"/>
      <c r="Q46" s="2458"/>
      <c r="R46" s="2458"/>
    </row>
    <row r="47" spans="1:21" s="2457" customFormat="1" ht="13.5" customHeight="1">
      <c r="A47" s="4462"/>
      <c r="B47" s="2469"/>
      <c r="C47" s="2469"/>
      <c r="D47" s="4360" t="s">
        <v>8377</v>
      </c>
      <c r="E47" s="3587"/>
      <c r="F47" s="4464"/>
      <c r="G47" s="2471"/>
      <c r="H47" s="4075"/>
      <c r="I47" s="4116"/>
      <c r="J47" s="2470"/>
      <c r="N47" s="2474"/>
      <c r="P47" s="2458"/>
      <c r="Q47" s="5334"/>
      <c r="R47" s="2458"/>
    </row>
    <row r="48" spans="1:21" s="2457" customFormat="1" ht="13.5" customHeight="1">
      <c r="A48" s="2614">
        <v>7</v>
      </c>
      <c r="B48" s="2469">
        <v>741</v>
      </c>
      <c r="C48" s="2469" t="s">
        <v>8192</v>
      </c>
      <c r="D48" s="2469" t="s">
        <v>8193</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8194</v>
      </c>
      <c r="E49" s="3587"/>
      <c r="F49" s="3588"/>
      <c r="G49" s="2471"/>
      <c r="H49" s="4075"/>
      <c r="I49" s="4116"/>
      <c r="J49" s="2470"/>
      <c r="K49" s="2526"/>
      <c r="P49" s="2458"/>
      <c r="Q49" s="2458"/>
      <c r="R49" s="2458"/>
      <c r="U49" s="2459"/>
    </row>
    <row r="50" spans="1:21" s="2560" customFormat="1" ht="13.5" customHeight="1">
      <c r="A50" s="4361"/>
      <c r="B50" s="2469"/>
      <c r="C50" s="2469"/>
      <c r="D50" s="4463" t="s">
        <v>6523</v>
      </c>
      <c r="E50" s="2469"/>
      <c r="F50" s="4464">
        <v>18</v>
      </c>
      <c r="G50" s="2471"/>
      <c r="H50" s="4075"/>
      <c r="I50" s="4116"/>
      <c r="J50" s="2470"/>
      <c r="L50" s="2457"/>
      <c r="P50" s="2458"/>
      <c r="Q50" s="2458"/>
      <c r="R50" s="2458"/>
    </row>
    <row r="51" spans="1:21" s="2560" customFormat="1" ht="13.5" customHeight="1">
      <c r="A51" s="4361"/>
      <c r="B51" s="2469"/>
      <c r="C51" s="2469"/>
      <c r="D51" s="4463" t="s">
        <v>6519</v>
      </c>
      <c r="E51" s="2469"/>
      <c r="F51" s="4464">
        <v>51</v>
      </c>
      <c r="G51" s="2471"/>
      <c r="H51" s="4075"/>
      <c r="I51" s="4116"/>
      <c r="J51" s="2470"/>
      <c r="L51" s="2457"/>
      <c r="P51" s="2458"/>
      <c r="Q51" s="2458"/>
      <c r="R51" s="2458"/>
    </row>
    <row r="52" spans="1:21" s="2560" customFormat="1" ht="13.5" customHeight="1">
      <c r="A52" s="4361"/>
      <c r="B52" s="2469"/>
      <c r="C52" s="2469"/>
      <c r="D52" s="4463" t="s">
        <v>6520</v>
      </c>
      <c r="E52" s="2469"/>
      <c r="F52" s="4464">
        <v>32</v>
      </c>
      <c r="G52" s="2471"/>
      <c r="H52" s="4075"/>
      <c r="I52" s="4116"/>
      <c r="J52" s="2470"/>
      <c r="L52" s="2457"/>
      <c r="P52" s="2458"/>
      <c r="Q52" s="2458"/>
      <c r="R52" s="2458"/>
    </row>
    <row r="53" spans="1:21" s="2560" customFormat="1" ht="13.5" customHeight="1">
      <c r="A53" s="4361"/>
      <c r="B53" s="2469"/>
      <c r="C53" s="2469"/>
      <c r="D53" s="4463" t="s">
        <v>6521</v>
      </c>
      <c r="E53" s="2469"/>
      <c r="F53" s="4464">
        <v>32</v>
      </c>
      <c r="G53" s="2471"/>
      <c r="H53" s="4075"/>
      <c r="I53" s="4116"/>
      <c r="J53" s="2470"/>
      <c r="L53" s="2457"/>
      <c r="P53" s="2458"/>
      <c r="Q53" s="2458"/>
      <c r="R53" s="2458"/>
    </row>
    <row r="54" spans="1:21" s="2457" customFormat="1" ht="13.5" customHeight="1">
      <c r="A54" s="4462"/>
      <c r="B54" s="2469"/>
      <c r="C54" s="2469"/>
      <c r="D54" s="4360" t="s">
        <v>8377</v>
      </c>
      <c r="E54" s="3587"/>
      <c r="F54" s="4464"/>
      <c r="G54" s="2471"/>
      <c r="H54" s="4075"/>
      <c r="I54" s="4116"/>
      <c r="J54" s="2470"/>
      <c r="N54" s="2474"/>
      <c r="P54" s="2458"/>
      <c r="Q54" s="5334"/>
      <c r="R54" s="2458"/>
    </row>
    <row r="55" spans="1:21" s="2457" customFormat="1" ht="13.5" customHeight="1">
      <c r="A55" s="2614">
        <v>8</v>
      </c>
      <c r="B55" s="2469">
        <v>741</v>
      </c>
      <c r="C55" s="2469" t="s">
        <v>8195</v>
      </c>
      <c r="D55" s="2469" t="s">
        <v>11556</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11557</v>
      </c>
      <c r="E56" s="3587"/>
      <c r="F56" s="3588"/>
      <c r="G56" s="2471"/>
      <c r="H56" s="4075"/>
      <c r="I56" s="4116"/>
      <c r="J56" s="2470"/>
      <c r="K56" s="2526"/>
      <c r="P56" s="2458"/>
      <c r="Q56" s="2458"/>
      <c r="R56" s="2458"/>
      <c r="U56" s="2459"/>
    </row>
    <row r="57" spans="1:21" s="2560" customFormat="1" ht="13.5" customHeight="1">
      <c r="A57" s="4361"/>
      <c r="B57" s="2469"/>
      <c r="C57" s="2469"/>
      <c r="D57" s="4463" t="s">
        <v>6519</v>
      </c>
      <c r="E57" s="2469"/>
      <c r="F57" s="4464">
        <v>17</v>
      </c>
      <c r="G57" s="2471"/>
      <c r="H57" s="4075"/>
      <c r="I57" s="4116"/>
      <c r="J57" s="2470"/>
      <c r="L57" s="2457"/>
      <c r="P57" s="2458"/>
      <c r="Q57" s="2458"/>
      <c r="R57" s="2458"/>
    </row>
    <row r="58" spans="1:21" s="2560" customFormat="1" ht="13.5" customHeight="1">
      <c r="A58" s="4361"/>
      <c r="B58" s="2469"/>
      <c r="C58" s="2469"/>
      <c r="D58" s="4463" t="s">
        <v>6520</v>
      </c>
      <c r="E58" s="2469"/>
      <c r="F58" s="4464">
        <v>18</v>
      </c>
      <c r="G58" s="2471"/>
      <c r="H58" s="4075"/>
      <c r="I58" s="4116"/>
      <c r="J58" s="2470"/>
      <c r="L58" s="2457"/>
      <c r="P58" s="2458"/>
      <c r="Q58" s="2458"/>
      <c r="R58" s="2458"/>
    </row>
    <row r="59" spans="1:21" s="2560" customFormat="1" ht="13.5" customHeight="1">
      <c r="A59" s="4361"/>
      <c r="B59" s="2469"/>
      <c r="C59" s="2469"/>
      <c r="D59" s="4463" t="s">
        <v>6521</v>
      </c>
      <c r="E59" s="2469"/>
      <c r="F59" s="4464">
        <v>17</v>
      </c>
      <c r="G59" s="2471"/>
      <c r="H59" s="4075"/>
      <c r="I59" s="4116"/>
      <c r="J59" s="2470"/>
      <c r="L59" s="2457"/>
      <c r="P59" s="2458"/>
      <c r="Q59" s="2458"/>
      <c r="R59" s="2458"/>
    </row>
    <row r="60" spans="1:21" s="2457" customFormat="1" ht="13.5" customHeight="1">
      <c r="A60" s="4462"/>
      <c r="B60" s="2469"/>
      <c r="C60" s="2469"/>
      <c r="D60" s="4360" t="s">
        <v>8377</v>
      </c>
      <c r="E60" s="3587"/>
      <c r="F60" s="4464"/>
      <c r="G60" s="2471"/>
      <c r="H60" s="4075"/>
      <c r="I60" s="4116"/>
      <c r="J60" s="2470"/>
      <c r="N60" s="2474"/>
      <c r="P60" s="2458"/>
      <c r="Q60" s="5334"/>
      <c r="R60" s="2458"/>
    </row>
    <row r="61" spans="1:21" s="2457" customFormat="1" ht="13.5" customHeight="1">
      <c r="A61" s="2614">
        <v>9</v>
      </c>
      <c r="B61" s="2469">
        <v>741</v>
      </c>
      <c r="C61" s="2469" t="s">
        <v>8196</v>
      </c>
      <c r="D61" s="2469" t="s">
        <v>8379</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8197</v>
      </c>
      <c r="E62" s="3587"/>
      <c r="F62" s="3588"/>
      <c r="G62" s="2471"/>
      <c r="H62" s="4075"/>
      <c r="I62" s="4116"/>
      <c r="J62" s="3589"/>
      <c r="K62" s="2456"/>
      <c r="P62" s="2458"/>
      <c r="Q62" s="2458"/>
      <c r="R62" s="2458"/>
      <c r="U62" s="2459"/>
    </row>
    <row r="63" spans="1:21" s="2560" customFormat="1" ht="13.5" customHeight="1">
      <c r="A63" s="4361"/>
      <c r="B63" s="2469"/>
      <c r="C63" s="2469"/>
      <c r="D63" s="4463" t="s">
        <v>8380</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8381</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8382</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8383</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8198</v>
      </c>
      <c r="D67" s="2469" t="s">
        <v>8199</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8200</v>
      </c>
      <c r="E68" s="3587"/>
      <c r="F68" s="3588"/>
      <c r="G68" s="2471"/>
      <c r="H68" s="4075"/>
      <c r="I68" s="4116"/>
      <c r="J68" s="2470"/>
      <c r="K68" s="2526"/>
      <c r="P68" s="2458"/>
      <c r="Q68" s="2458"/>
      <c r="R68" s="2458"/>
      <c r="U68" s="2459"/>
    </row>
    <row r="69" spans="1:21" s="2457" customFormat="1" ht="13.5" customHeight="1">
      <c r="A69" s="4462"/>
      <c r="B69" s="2469"/>
      <c r="C69" s="2469"/>
      <c r="D69" s="4463" t="s">
        <v>6523</v>
      </c>
      <c r="E69" s="2469"/>
      <c r="F69" s="4464">
        <v>2</v>
      </c>
      <c r="G69" s="2471"/>
      <c r="H69" s="4075"/>
      <c r="I69" s="4116"/>
      <c r="J69" s="2470"/>
      <c r="P69" s="2458"/>
      <c r="Q69" s="2458"/>
      <c r="R69" s="2458"/>
    </row>
    <row r="70" spans="1:21" s="2560" customFormat="1" ht="13.5" customHeight="1">
      <c r="A70" s="4361"/>
      <c r="B70" s="2469"/>
      <c r="C70" s="2469"/>
      <c r="D70" s="4463" t="s">
        <v>6519</v>
      </c>
      <c r="E70" s="2469"/>
      <c r="F70" s="4464">
        <v>9</v>
      </c>
      <c r="G70" s="2471"/>
      <c r="H70" s="4075"/>
      <c r="I70" s="4116"/>
      <c r="J70" s="2470"/>
      <c r="L70" s="2457"/>
      <c r="P70" s="2458"/>
      <c r="Q70" s="2458"/>
      <c r="R70" s="2458"/>
    </row>
    <row r="71" spans="1:21" s="2560" customFormat="1" ht="13.5" customHeight="1">
      <c r="A71" s="4361"/>
      <c r="B71" s="2469"/>
      <c r="C71" s="2469"/>
      <c r="D71" s="4463" t="s">
        <v>6520</v>
      </c>
      <c r="E71" s="2469"/>
      <c r="F71" s="4464">
        <v>4</v>
      </c>
      <c r="G71" s="2471"/>
      <c r="H71" s="4075"/>
      <c r="I71" s="4116"/>
      <c r="J71" s="2470"/>
      <c r="L71" s="2457"/>
      <c r="P71" s="2458"/>
      <c r="Q71" s="2458"/>
      <c r="R71" s="2458"/>
    </row>
    <row r="72" spans="1:21" s="2560" customFormat="1" ht="13.5" customHeight="1">
      <c r="A72" s="4361"/>
      <c r="B72" s="2469"/>
      <c r="C72" s="2469"/>
      <c r="D72" s="4463" t="s">
        <v>6521</v>
      </c>
      <c r="E72" s="2469"/>
      <c r="F72" s="4464">
        <v>4</v>
      </c>
      <c r="G72" s="2471"/>
      <c r="H72" s="4075"/>
      <c r="I72" s="4116"/>
      <c r="J72" s="2470"/>
      <c r="L72" s="2457"/>
      <c r="P72" s="2458"/>
      <c r="Q72" s="2458"/>
      <c r="R72" s="2458"/>
    </row>
    <row r="73" spans="1:21" s="2457" customFormat="1" ht="13.5" customHeight="1">
      <c r="A73" s="4462"/>
      <c r="B73" s="2469"/>
      <c r="C73" s="2469"/>
      <c r="D73" s="4360" t="s">
        <v>8377</v>
      </c>
      <c r="E73" s="3587"/>
      <c r="F73" s="4464"/>
      <c r="G73" s="2471"/>
      <c r="H73" s="4075"/>
      <c r="I73" s="4116"/>
      <c r="J73" s="2470"/>
      <c r="N73" s="2474"/>
      <c r="P73" s="2458"/>
      <c r="Q73" s="5334"/>
      <c r="R73" s="2458"/>
    </row>
    <row r="74" spans="1:21" s="2457" customFormat="1" ht="13.5" customHeight="1">
      <c r="A74" s="2614">
        <v>11</v>
      </c>
      <c r="B74" s="2469">
        <v>741</v>
      </c>
      <c r="C74" s="2469" t="s">
        <v>8201</v>
      </c>
      <c r="D74" s="2469" t="s">
        <v>8202</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8203</v>
      </c>
      <c r="E75" s="3587"/>
      <c r="F75" s="3588"/>
      <c r="G75" s="2471"/>
      <c r="H75" s="4075"/>
      <c r="I75" s="4116"/>
      <c r="J75" s="2470"/>
      <c r="K75" s="2456"/>
      <c r="P75" s="2458"/>
      <c r="Q75" s="2458"/>
      <c r="R75" s="2458"/>
      <c r="U75" s="2455"/>
    </row>
    <row r="76" spans="1:21" s="2560" customFormat="1" ht="13.5" customHeight="1">
      <c r="A76" s="4361"/>
      <c r="B76" s="2469"/>
      <c r="C76" s="2469"/>
      <c r="D76" s="4463" t="s">
        <v>6519</v>
      </c>
      <c r="E76" s="2469"/>
      <c r="F76" s="4464">
        <v>4</v>
      </c>
      <c r="G76" s="2471"/>
      <c r="H76" s="4075"/>
      <c r="I76" s="4116"/>
      <c r="J76" s="2470"/>
      <c r="L76" s="2457"/>
      <c r="P76" s="2458"/>
      <c r="Q76" s="2458"/>
      <c r="R76" s="2458"/>
    </row>
    <row r="77" spans="1:21" s="2457" customFormat="1" ht="13.5" customHeight="1">
      <c r="A77" s="4462"/>
      <c r="B77" s="2469"/>
      <c r="C77" s="2469"/>
      <c r="D77" s="4360" t="s">
        <v>8377</v>
      </c>
      <c r="E77" s="3587"/>
      <c r="F77" s="4464"/>
      <c r="G77" s="2471"/>
      <c r="H77" s="4075"/>
      <c r="I77" s="4116"/>
      <c r="J77" s="2470"/>
      <c r="N77" s="2474"/>
      <c r="P77" s="2458"/>
      <c r="Q77" s="5334"/>
      <c r="R77" s="2458"/>
    </row>
    <row r="78" spans="1:21" s="2457" customFormat="1" ht="13.5" customHeight="1">
      <c r="A78" s="2614">
        <v>12</v>
      </c>
      <c r="B78" s="2469">
        <v>741</v>
      </c>
      <c r="C78" s="2469" t="s">
        <v>8204</v>
      </c>
      <c r="D78" s="2469" t="s">
        <v>8205</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8206</v>
      </c>
      <c r="E79" s="3587"/>
      <c r="F79" s="3588"/>
      <c r="G79" s="2471"/>
      <c r="H79" s="4075"/>
      <c r="I79" s="4116"/>
      <c r="J79" s="2470"/>
      <c r="K79" s="2456"/>
      <c r="P79" s="2458"/>
      <c r="Q79" s="2458"/>
      <c r="R79" s="2458"/>
      <c r="U79" s="2459"/>
    </row>
    <row r="80" spans="1:21" s="2560" customFormat="1" ht="13.5" customHeight="1">
      <c r="A80" s="4361"/>
      <c r="B80" s="2469"/>
      <c r="C80" s="2469"/>
      <c r="D80" s="4463" t="s">
        <v>6519</v>
      </c>
      <c r="E80" s="2469"/>
      <c r="F80" s="4464">
        <v>6</v>
      </c>
      <c r="G80" s="2471"/>
      <c r="H80" s="4075"/>
      <c r="I80" s="4116"/>
      <c r="J80" s="2470"/>
      <c r="L80" s="2457"/>
      <c r="P80" s="2458"/>
      <c r="Q80" s="2458"/>
      <c r="R80" s="2458"/>
    </row>
    <row r="81" spans="1:21" s="2560" customFormat="1" ht="13.5" customHeight="1">
      <c r="A81" s="4361"/>
      <c r="B81" s="2469"/>
      <c r="C81" s="2469"/>
      <c r="D81" s="4463" t="s">
        <v>6520</v>
      </c>
      <c r="E81" s="2469"/>
      <c r="F81" s="4464">
        <v>14</v>
      </c>
      <c r="G81" s="2471"/>
      <c r="H81" s="4075"/>
      <c r="I81" s="4116"/>
      <c r="J81" s="2470"/>
      <c r="L81" s="2457"/>
      <c r="P81" s="2458"/>
      <c r="Q81" s="2458"/>
      <c r="R81" s="2458"/>
    </row>
    <row r="82" spans="1:21" s="2560" customFormat="1" ht="13.5" customHeight="1">
      <c r="A82" s="4361"/>
      <c r="B82" s="2469"/>
      <c r="C82" s="2469"/>
      <c r="D82" s="4463" t="s">
        <v>6521</v>
      </c>
      <c r="E82" s="2469"/>
      <c r="F82" s="4464">
        <v>14</v>
      </c>
      <c r="G82" s="2471"/>
      <c r="H82" s="4075"/>
      <c r="I82" s="4116"/>
      <c r="J82" s="2470"/>
      <c r="L82" s="2457"/>
      <c r="P82" s="2458"/>
      <c r="Q82" s="2458"/>
      <c r="R82" s="2458"/>
    </row>
    <row r="83" spans="1:21" s="2457" customFormat="1" ht="13.5" customHeight="1">
      <c r="A83" s="4462"/>
      <c r="B83" s="2469"/>
      <c r="C83" s="2469"/>
      <c r="D83" s="4360" t="s">
        <v>8377</v>
      </c>
      <c r="E83" s="3587"/>
      <c r="F83" s="4464"/>
      <c r="G83" s="2471"/>
      <c r="H83" s="4075"/>
      <c r="I83" s="4116"/>
      <c r="J83" s="2470"/>
      <c r="N83" s="2474"/>
      <c r="P83" s="2458"/>
      <c r="Q83" s="5334"/>
      <c r="R83" s="2458"/>
    </row>
    <row r="84" spans="1:21" s="2457" customFormat="1" ht="13.5" customHeight="1">
      <c r="A84" s="2614">
        <v>13</v>
      </c>
      <c r="B84" s="2469">
        <v>741</v>
      </c>
      <c r="C84" s="2469" t="s">
        <v>8207</v>
      </c>
      <c r="D84" s="2469" t="s">
        <v>8208</v>
      </c>
      <c r="E84" s="3587" t="s">
        <v>155</v>
      </c>
      <c r="F84" s="3588">
        <f>SUM(F86:F88)</f>
        <v>37</v>
      </c>
      <c r="G84" s="5918" t="s">
        <v>11555</v>
      </c>
      <c r="H84" s="5919"/>
      <c r="I84" s="4116"/>
      <c r="J84" s="2470" t="s">
        <v>60</v>
      </c>
      <c r="K84" s="5336"/>
      <c r="L84" s="2456"/>
      <c r="P84" s="2458"/>
      <c r="Q84" s="2458"/>
      <c r="R84" s="2458"/>
      <c r="U84" s="2459"/>
    </row>
    <row r="85" spans="1:21" s="2457" customFormat="1" ht="13.5" customHeight="1">
      <c r="A85" s="4462"/>
      <c r="B85" s="2469"/>
      <c r="C85" s="2469"/>
      <c r="D85" s="4463" t="s">
        <v>8209</v>
      </c>
      <c r="E85" s="3587"/>
      <c r="F85" s="3588"/>
      <c r="G85" s="2471"/>
      <c r="H85" s="4075"/>
      <c r="I85" s="4116"/>
      <c r="J85" s="2470"/>
      <c r="K85" s="2526"/>
      <c r="P85" s="2458"/>
      <c r="Q85" s="2458"/>
      <c r="R85" s="2458"/>
      <c r="S85" s="2458"/>
      <c r="U85" s="2459"/>
    </row>
    <row r="86" spans="1:21" s="2560" customFormat="1" ht="13.5" customHeight="1">
      <c r="A86" s="4361"/>
      <c r="B86" s="2469"/>
      <c r="C86" s="2469"/>
      <c r="D86" s="4463" t="s">
        <v>6519</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6520</v>
      </c>
      <c r="E87" s="2469"/>
      <c r="F87" s="4464">
        <v>15</v>
      </c>
      <c r="G87" s="2471"/>
      <c r="H87" s="4075"/>
      <c r="I87" s="4116"/>
      <c r="J87" s="2470"/>
      <c r="L87" s="2457"/>
      <c r="P87" s="2458"/>
      <c r="Q87" s="2458"/>
      <c r="R87" s="2458"/>
    </row>
    <row r="88" spans="1:21" s="2560" customFormat="1" ht="13.5" customHeight="1">
      <c r="A88" s="4361"/>
      <c r="B88" s="2469"/>
      <c r="C88" s="2469"/>
      <c r="D88" s="4463" t="s">
        <v>6521</v>
      </c>
      <c r="E88" s="2469"/>
      <c r="F88" s="4464">
        <v>15</v>
      </c>
      <c r="G88" s="2471"/>
      <c r="H88" s="4075"/>
      <c r="I88" s="4116"/>
      <c r="J88" s="2470"/>
      <c r="L88" s="2457"/>
      <c r="P88" s="2458"/>
      <c r="Q88" s="2458"/>
      <c r="R88" s="2458"/>
    </row>
    <row r="89" spans="1:21" s="2457" customFormat="1" ht="13.5" customHeight="1">
      <c r="A89" s="4462"/>
      <c r="B89" s="2469"/>
      <c r="C89" s="2469"/>
      <c r="D89" s="4360" t="s">
        <v>8377</v>
      </c>
      <c r="E89" s="3587"/>
      <c r="F89" s="4464"/>
      <c r="G89" s="2471"/>
      <c r="H89" s="4075"/>
      <c r="I89" s="4116"/>
      <c r="J89" s="2470"/>
      <c r="N89" s="2474"/>
      <c r="P89" s="2458"/>
      <c r="Q89" s="5334"/>
      <c r="R89" s="2458"/>
    </row>
    <row r="90" spans="1:21" s="2457" customFormat="1" ht="13.5" customHeight="1">
      <c r="A90" s="2614">
        <v>14</v>
      </c>
      <c r="B90" s="2469">
        <v>741</v>
      </c>
      <c r="C90" s="2469" t="s">
        <v>8210</v>
      </c>
      <c r="D90" s="2469" t="s">
        <v>8211</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8212</v>
      </c>
      <c r="E91" s="3587"/>
      <c r="F91" s="3588"/>
      <c r="G91" s="2471"/>
      <c r="H91" s="4075"/>
      <c r="I91" s="4116"/>
      <c r="J91" s="2470"/>
      <c r="K91" s="2526"/>
      <c r="P91" s="2458"/>
      <c r="Q91" s="2458"/>
      <c r="R91" s="2458"/>
      <c r="S91" s="2458"/>
      <c r="U91" s="2459"/>
    </row>
    <row r="92" spans="1:21" s="2560" customFormat="1" ht="13.5" customHeight="1">
      <c r="A92" s="4361"/>
      <c r="B92" s="2469"/>
      <c r="C92" s="2469"/>
      <c r="D92" s="4463" t="s">
        <v>6519</v>
      </c>
      <c r="E92" s="2469"/>
      <c r="F92" s="4464">
        <v>6</v>
      </c>
      <c r="G92" s="2471"/>
      <c r="H92" s="4075"/>
      <c r="I92" s="4116"/>
      <c r="J92" s="2470"/>
      <c r="L92" s="2457"/>
      <c r="P92" s="2458"/>
      <c r="Q92" s="2458"/>
      <c r="R92" s="2455"/>
    </row>
    <row r="93" spans="1:21" s="2560" customFormat="1" ht="13.5" customHeight="1">
      <c r="A93" s="4361"/>
      <c r="B93" s="2469"/>
      <c r="C93" s="2469"/>
      <c r="D93" s="4463" t="s">
        <v>6520</v>
      </c>
      <c r="E93" s="2469"/>
      <c r="F93" s="4464">
        <v>14</v>
      </c>
      <c r="G93" s="2471"/>
      <c r="H93" s="4075"/>
      <c r="I93" s="4116"/>
      <c r="J93" s="2470"/>
      <c r="L93" s="2457"/>
      <c r="P93" s="2458"/>
      <c r="Q93" s="2458"/>
      <c r="R93" s="2458"/>
    </row>
    <row r="94" spans="1:21" s="2560" customFormat="1" ht="13.5" customHeight="1">
      <c r="A94" s="4361"/>
      <c r="B94" s="2469"/>
      <c r="C94" s="2469"/>
      <c r="D94" s="4463" t="s">
        <v>6521</v>
      </c>
      <c r="E94" s="2469"/>
      <c r="F94" s="4464">
        <v>14</v>
      </c>
      <c r="G94" s="2471"/>
      <c r="H94" s="4075"/>
      <c r="I94" s="4116"/>
      <c r="J94" s="2470"/>
      <c r="L94" s="2457"/>
      <c r="P94" s="2458"/>
      <c r="Q94" s="2458"/>
      <c r="R94" s="2458"/>
    </row>
    <row r="95" spans="1:21" s="2457" customFormat="1" ht="13.5" customHeight="1">
      <c r="A95" s="4462"/>
      <c r="B95" s="2469"/>
      <c r="C95" s="2469"/>
      <c r="D95" s="4360" t="s">
        <v>8377</v>
      </c>
      <c r="E95" s="3587"/>
      <c r="F95" s="4464"/>
      <c r="G95" s="2471"/>
      <c r="H95" s="4075"/>
      <c r="I95" s="4116"/>
      <c r="J95" s="2470"/>
      <c r="N95" s="2474"/>
      <c r="P95" s="2458"/>
      <c r="Q95" s="5334"/>
      <c r="R95" s="2458"/>
    </row>
    <row r="96" spans="1:21" s="2457" customFormat="1" ht="13.5" customHeight="1">
      <c r="A96" s="2614">
        <v>15</v>
      </c>
      <c r="B96" s="2469">
        <v>741</v>
      </c>
      <c r="C96" s="2469" t="s">
        <v>8213</v>
      </c>
      <c r="D96" s="2469" t="s">
        <v>8214</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8215</v>
      </c>
      <c r="E97" s="3587"/>
      <c r="F97" s="3588"/>
      <c r="G97" s="2471"/>
      <c r="H97" s="4075"/>
      <c r="I97" s="4116"/>
      <c r="J97" s="2470"/>
      <c r="K97" s="2526"/>
      <c r="P97" s="2458"/>
      <c r="Q97" s="2458"/>
      <c r="R97" s="2458"/>
      <c r="U97" s="2459"/>
    </row>
    <row r="98" spans="1:21" s="2560" customFormat="1" ht="13.5" customHeight="1">
      <c r="A98" s="4361"/>
      <c r="B98" s="2469"/>
      <c r="C98" s="2469"/>
      <c r="D98" s="4463" t="s">
        <v>6523</v>
      </c>
      <c r="E98" s="2469"/>
      <c r="F98" s="4464">
        <v>31</v>
      </c>
      <c r="G98" s="2471"/>
      <c r="H98" s="4075"/>
      <c r="I98" s="4116"/>
      <c r="J98" s="2470"/>
      <c r="L98" s="2457"/>
      <c r="P98" s="2458"/>
      <c r="Q98" s="2458"/>
      <c r="R98" s="2458"/>
    </row>
    <row r="99" spans="1:21" s="2457" customFormat="1" ht="13.5" customHeight="1">
      <c r="A99" s="4462"/>
      <c r="B99" s="2469"/>
      <c r="C99" s="2469"/>
      <c r="D99" s="4360" t="s">
        <v>7132</v>
      </c>
      <c r="E99" s="3587"/>
      <c r="F99" s="4464"/>
      <c r="G99" s="2471"/>
      <c r="H99" s="4075"/>
      <c r="I99" s="4116"/>
      <c r="J99" s="2470"/>
      <c r="N99" s="2474"/>
      <c r="P99" s="2458"/>
      <c r="Q99" s="5334"/>
      <c r="R99" s="2458"/>
    </row>
    <row r="100" spans="1:21" s="2457" customFormat="1" ht="13.5" customHeight="1">
      <c r="A100" s="2614">
        <v>16</v>
      </c>
      <c r="B100" s="2469">
        <v>741</v>
      </c>
      <c r="C100" s="2469" t="s">
        <v>8216</v>
      </c>
      <c r="D100" s="2469" t="s">
        <v>8217</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8218</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6523</v>
      </c>
      <c r="E102" s="2469"/>
      <c r="F102" s="4464">
        <v>15</v>
      </c>
      <c r="G102" s="2471"/>
      <c r="H102" s="4075"/>
      <c r="I102" s="4116"/>
      <c r="J102" s="2470"/>
      <c r="L102" s="2457"/>
      <c r="P102" s="2458"/>
      <c r="Q102" s="2458"/>
      <c r="R102" s="2458"/>
    </row>
    <row r="103" spans="1:21" s="2457" customFormat="1" ht="13.5" customHeight="1">
      <c r="A103" s="4462"/>
      <c r="B103" s="2469"/>
      <c r="C103" s="2469"/>
      <c r="D103" s="4360" t="s">
        <v>7132</v>
      </c>
      <c r="E103" s="3587"/>
      <c r="F103" s="4464"/>
      <c r="G103" s="2471"/>
      <c r="H103" s="4075"/>
      <c r="I103" s="4116"/>
      <c r="J103" s="2470"/>
      <c r="N103" s="2474"/>
      <c r="P103" s="2458"/>
      <c r="Q103" s="5334"/>
      <c r="R103" s="2458"/>
    </row>
    <row r="104" spans="1:21" s="2457" customFormat="1" ht="13.5" customHeight="1">
      <c r="A104" s="2614">
        <v>17</v>
      </c>
      <c r="B104" s="2469">
        <v>741</v>
      </c>
      <c r="C104" s="2469" t="s">
        <v>8219</v>
      </c>
      <c r="D104" s="2469" t="s">
        <v>8220</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8221</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6519</v>
      </c>
      <c r="E106" s="2469"/>
      <c r="F106" s="4464">
        <v>12</v>
      </c>
      <c r="G106" s="2471"/>
      <c r="H106" s="4075"/>
      <c r="I106" s="4116"/>
      <c r="J106" s="2470"/>
      <c r="L106" s="2457"/>
      <c r="P106" s="2458"/>
      <c r="Q106" s="2458"/>
      <c r="R106" s="2455"/>
    </row>
    <row r="107" spans="1:21" s="2457" customFormat="1" ht="13.5" customHeight="1">
      <c r="A107" s="4462"/>
      <c r="B107" s="2469"/>
      <c r="C107" s="2469"/>
      <c r="D107" s="4360" t="s">
        <v>8377</v>
      </c>
      <c r="E107" s="3587"/>
      <c r="F107" s="4464"/>
      <c r="G107" s="2471"/>
      <c r="H107" s="4075"/>
      <c r="I107" s="4116"/>
      <c r="J107" s="2470"/>
      <c r="N107" s="2474"/>
      <c r="P107" s="2458"/>
      <c r="Q107" s="5334"/>
      <c r="R107" s="2458"/>
    </row>
    <row r="108" spans="1:21" s="2457" customFormat="1" ht="13.5" customHeight="1">
      <c r="A108" s="2614">
        <v>18</v>
      </c>
      <c r="B108" s="2469">
        <v>741</v>
      </c>
      <c r="C108" s="2469" t="s">
        <v>8222</v>
      </c>
      <c r="D108" s="2469" t="s">
        <v>8223</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8224</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6519</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6520</v>
      </c>
      <c r="E111" s="2469"/>
      <c r="F111" s="4464">
        <v>15</v>
      </c>
      <c r="G111" s="2471"/>
      <c r="H111" s="4075"/>
      <c r="I111" s="4116"/>
      <c r="J111" s="2470"/>
      <c r="L111" s="2457"/>
      <c r="P111" s="2458"/>
      <c r="Q111" s="2458"/>
      <c r="R111" s="2458"/>
    </row>
    <row r="112" spans="1:21" s="2560" customFormat="1" ht="13.5" customHeight="1">
      <c r="A112" s="4361"/>
      <c r="B112" s="2469"/>
      <c r="C112" s="2469"/>
      <c r="D112" s="4463" t="s">
        <v>6521</v>
      </c>
      <c r="E112" s="2469"/>
      <c r="F112" s="4464">
        <v>12</v>
      </c>
      <c r="G112" s="2471"/>
      <c r="H112" s="4075"/>
      <c r="I112" s="4116"/>
      <c r="J112" s="2470"/>
      <c r="L112" s="2457"/>
      <c r="P112" s="2458"/>
      <c r="Q112" s="2458"/>
      <c r="R112" s="2458"/>
    </row>
    <row r="113" spans="1:21" s="2457" customFormat="1" ht="13.5" customHeight="1">
      <c r="A113" s="4462"/>
      <c r="B113" s="2469"/>
      <c r="C113" s="2469"/>
      <c r="D113" s="4360" t="s">
        <v>8377</v>
      </c>
      <c r="E113" s="3587"/>
      <c r="F113" s="4464"/>
      <c r="G113" s="2471"/>
      <c r="H113" s="4075"/>
      <c r="I113" s="4116"/>
      <c r="J113" s="2470"/>
      <c r="N113" s="2474"/>
      <c r="P113" s="2458"/>
      <c r="Q113" s="5334"/>
      <c r="R113" s="2458"/>
    </row>
    <row r="114" spans="1:21" s="2457" customFormat="1" ht="13.5" customHeight="1">
      <c r="A114" s="2614">
        <v>19</v>
      </c>
      <c r="B114" s="2469">
        <v>741</v>
      </c>
      <c r="C114" s="2469" t="s">
        <v>8225</v>
      </c>
      <c r="D114" s="2469" t="s">
        <v>8226</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8227</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6523</v>
      </c>
      <c r="E116" s="2469"/>
      <c r="F116" s="4464">
        <v>15</v>
      </c>
      <c r="G116" s="2471"/>
      <c r="H116" s="4075"/>
      <c r="I116" s="4116"/>
      <c r="J116" s="2470"/>
      <c r="N116" s="2474"/>
      <c r="P116" s="2458"/>
      <c r="Q116" s="5334"/>
      <c r="R116" s="2458"/>
    </row>
    <row r="117" spans="1:21" s="2457" customFormat="1" ht="13.5" customHeight="1">
      <c r="A117" s="4462"/>
      <c r="B117" s="2469"/>
      <c r="C117" s="2469"/>
      <c r="D117" s="4360" t="s">
        <v>7132</v>
      </c>
      <c r="E117" s="3587"/>
      <c r="F117" s="4464"/>
      <c r="G117" s="2471"/>
      <c r="H117" s="4075"/>
      <c r="I117" s="4116"/>
      <c r="J117" s="2470"/>
      <c r="N117" s="2474"/>
      <c r="P117" s="2458"/>
      <c r="Q117" s="5334"/>
      <c r="R117" s="2458"/>
    </row>
    <row r="118" spans="1:21" s="2457" customFormat="1" ht="13.5" customHeight="1">
      <c r="A118" s="2614">
        <v>20</v>
      </c>
      <c r="B118" s="2469">
        <v>741</v>
      </c>
      <c r="C118" s="2469" t="s">
        <v>8228</v>
      </c>
      <c r="D118" s="2469" t="s">
        <v>8229</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8230</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6523</v>
      </c>
      <c r="E120" s="2469"/>
      <c r="F120" s="4464">
        <v>21</v>
      </c>
      <c r="G120" s="2471"/>
      <c r="H120" s="4075"/>
      <c r="I120" s="4116"/>
      <c r="J120" s="2470"/>
      <c r="N120" s="2474"/>
      <c r="P120" s="2455"/>
      <c r="Q120" s="5334"/>
      <c r="R120" s="2458"/>
    </row>
    <row r="121" spans="1:21" s="2457" customFormat="1" ht="13.5" customHeight="1">
      <c r="A121" s="4361"/>
      <c r="B121" s="2469"/>
      <c r="C121" s="2469"/>
      <c r="D121" s="4463" t="s">
        <v>6519</v>
      </c>
      <c r="E121" s="2469"/>
      <c r="F121" s="4464">
        <v>7</v>
      </c>
      <c r="G121" s="2471"/>
      <c r="H121" s="4075"/>
      <c r="I121" s="4116"/>
      <c r="J121" s="2470"/>
      <c r="N121" s="2474"/>
      <c r="P121" s="2458"/>
      <c r="Q121" s="5334"/>
      <c r="R121" s="2458"/>
    </row>
    <row r="122" spans="1:21" s="2457" customFormat="1" ht="13.5" customHeight="1">
      <c r="A122" s="4361"/>
      <c r="B122" s="2469"/>
      <c r="C122" s="2469"/>
      <c r="D122" s="4463" t="s">
        <v>6520</v>
      </c>
      <c r="E122" s="2469"/>
      <c r="F122" s="4464">
        <v>14</v>
      </c>
      <c r="G122" s="2471"/>
      <c r="H122" s="4075"/>
      <c r="I122" s="4116"/>
      <c r="J122" s="2470"/>
      <c r="N122" s="2474"/>
      <c r="P122" s="2458"/>
      <c r="Q122" s="5334"/>
      <c r="R122" s="2458"/>
    </row>
    <row r="123" spans="1:21" s="2457" customFormat="1" ht="13.5" customHeight="1">
      <c r="A123" s="4361"/>
      <c r="B123" s="2469"/>
      <c r="C123" s="2469"/>
      <c r="D123" s="4463" t="s">
        <v>6521</v>
      </c>
      <c r="E123" s="2469"/>
      <c r="F123" s="4464">
        <v>13</v>
      </c>
      <c r="G123" s="2471"/>
      <c r="H123" s="4075"/>
      <c r="I123" s="4116"/>
      <c r="J123" s="2470"/>
      <c r="N123" s="2474"/>
      <c r="P123" s="2458"/>
      <c r="Q123" s="5334"/>
      <c r="R123" s="2458"/>
    </row>
    <row r="124" spans="1:21" s="2457" customFormat="1" ht="13.5" customHeight="1">
      <c r="A124" s="4462"/>
      <c r="B124" s="2469"/>
      <c r="C124" s="2469"/>
      <c r="D124" s="4360" t="s">
        <v>8377</v>
      </c>
      <c r="E124" s="3587"/>
      <c r="F124" s="4464"/>
      <c r="G124" s="2471"/>
      <c r="H124" s="4075"/>
      <c r="I124" s="4116"/>
      <c r="J124" s="2470"/>
      <c r="N124" s="2474"/>
      <c r="P124" s="2458"/>
      <c r="Q124" s="5334"/>
      <c r="R124" s="2458"/>
    </row>
    <row r="125" spans="1:21" s="2457" customFormat="1" ht="13.5" customHeight="1">
      <c r="A125" s="2614">
        <v>21</v>
      </c>
      <c r="B125" s="2469">
        <v>741</v>
      </c>
      <c r="C125" s="2469" t="s">
        <v>8231</v>
      </c>
      <c r="D125" s="2469" t="s">
        <v>8232</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8230</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6523</v>
      </c>
      <c r="E127" s="2469"/>
      <c r="F127" s="4464">
        <v>20</v>
      </c>
      <c r="G127" s="2471"/>
      <c r="H127" s="4075"/>
      <c r="I127" s="4116"/>
      <c r="J127" s="2470"/>
      <c r="N127" s="2474"/>
      <c r="P127" s="2458"/>
      <c r="Q127" s="5334"/>
      <c r="R127" s="2458"/>
    </row>
    <row r="128" spans="1:21" s="2457" customFormat="1" ht="13.5" customHeight="1">
      <c r="A128" s="4361"/>
      <c r="B128" s="2469"/>
      <c r="C128" s="2469"/>
      <c r="D128" s="4463" t="s">
        <v>6519</v>
      </c>
      <c r="E128" s="2469"/>
      <c r="F128" s="4464">
        <v>33</v>
      </c>
      <c r="G128" s="2471"/>
      <c r="H128" s="4075"/>
      <c r="I128" s="4116"/>
      <c r="J128" s="2470"/>
      <c r="N128" s="2474"/>
      <c r="P128" s="2458"/>
      <c r="Q128" s="5334"/>
      <c r="R128" s="2458"/>
    </row>
    <row r="129" spans="1:21" s="2457" customFormat="1" ht="13.5" customHeight="1">
      <c r="A129" s="4361"/>
      <c r="B129" s="2469"/>
      <c r="C129" s="2469"/>
      <c r="D129" s="4463" t="s">
        <v>6520</v>
      </c>
      <c r="E129" s="2469"/>
      <c r="F129" s="4464">
        <v>44</v>
      </c>
      <c r="G129" s="2471"/>
      <c r="H129" s="4075"/>
      <c r="I129" s="4116"/>
      <c r="J129" s="2470"/>
      <c r="N129" s="2474"/>
      <c r="P129" s="2458"/>
      <c r="Q129" s="5334"/>
      <c r="R129" s="2458"/>
    </row>
    <row r="130" spans="1:21" s="2457" customFormat="1" ht="13.5" customHeight="1">
      <c r="A130" s="4361"/>
      <c r="B130" s="2469"/>
      <c r="C130" s="2469"/>
      <c r="D130" s="4463" t="s">
        <v>6521</v>
      </c>
      <c r="E130" s="2469"/>
      <c r="F130" s="4464">
        <v>43</v>
      </c>
      <c r="G130" s="2471"/>
      <c r="H130" s="4075"/>
      <c r="I130" s="4116"/>
      <c r="J130" s="2470"/>
      <c r="N130" s="2474"/>
      <c r="P130" s="2458"/>
      <c r="Q130" s="5334"/>
      <c r="R130" s="2458"/>
    </row>
    <row r="131" spans="1:21" s="2457" customFormat="1" ht="13.5" customHeight="1">
      <c r="A131" s="4462"/>
      <c r="B131" s="2469"/>
      <c r="C131" s="2469"/>
      <c r="D131" s="4360" t="s">
        <v>8377</v>
      </c>
      <c r="E131" s="3587"/>
      <c r="F131" s="4464"/>
      <c r="G131" s="2471"/>
      <c r="H131" s="4075"/>
      <c r="I131" s="4116"/>
      <c r="J131" s="2470"/>
      <c r="N131" s="2474"/>
      <c r="P131" s="2458"/>
      <c r="Q131" s="5334"/>
      <c r="R131" s="2458"/>
    </row>
    <row r="132" spans="1:21" s="2457" customFormat="1" ht="13.5" customHeight="1">
      <c r="A132" s="2614">
        <v>22</v>
      </c>
      <c r="B132" s="2469">
        <v>741</v>
      </c>
      <c r="C132" s="2469" t="s">
        <v>8233</v>
      </c>
      <c r="D132" s="2469" t="s">
        <v>8234</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8230</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6523</v>
      </c>
      <c r="E134" s="2469"/>
      <c r="F134" s="4464">
        <v>2</v>
      </c>
      <c r="G134" s="2471"/>
      <c r="H134" s="4075"/>
      <c r="I134" s="4116"/>
      <c r="J134" s="2470"/>
      <c r="N134" s="2474"/>
      <c r="P134" s="2458"/>
      <c r="Q134" s="5334"/>
      <c r="R134" s="2458"/>
    </row>
    <row r="135" spans="1:21" s="2457" customFormat="1" ht="13.5" customHeight="1">
      <c r="A135" s="4361"/>
      <c r="B135" s="2469"/>
      <c r="C135" s="2469"/>
      <c r="D135" s="4463" t="s">
        <v>6519</v>
      </c>
      <c r="E135" s="2469"/>
      <c r="F135" s="4464">
        <v>7</v>
      </c>
      <c r="G135" s="2471"/>
      <c r="H135" s="4075"/>
      <c r="I135" s="4116"/>
      <c r="J135" s="2470"/>
      <c r="N135" s="2474"/>
      <c r="P135" s="2458"/>
      <c r="Q135" s="5334"/>
      <c r="R135" s="2458"/>
    </row>
    <row r="136" spans="1:21" s="2457" customFormat="1" ht="13.5" customHeight="1">
      <c r="A136" s="4361"/>
      <c r="B136" s="2469"/>
      <c r="C136" s="2469"/>
      <c r="D136" s="4463" t="s">
        <v>6520</v>
      </c>
      <c r="E136" s="2469"/>
      <c r="F136" s="4464">
        <v>15</v>
      </c>
      <c r="G136" s="2471"/>
      <c r="H136" s="4075"/>
      <c r="I136" s="4116"/>
      <c r="J136" s="2470"/>
      <c r="N136" s="2474"/>
      <c r="P136" s="2458"/>
      <c r="Q136" s="5334"/>
      <c r="R136" s="2458"/>
    </row>
    <row r="137" spans="1:21" s="2457" customFormat="1" ht="13.5" customHeight="1">
      <c r="A137" s="4361"/>
      <c r="B137" s="2469"/>
      <c r="C137" s="2469"/>
      <c r="D137" s="4463" t="s">
        <v>6521</v>
      </c>
      <c r="E137" s="2469"/>
      <c r="F137" s="4464">
        <v>14</v>
      </c>
      <c r="G137" s="2471"/>
      <c r="H137" s="4075"/>
      <c r="I137" s="4116"/>
      <c r="J137" s="2470"/>
      <c r="N137" s="2474"/>
      <c r="P137" s="2458"/>
      <c r="Q137" s="5334"/>
      <c r="R137" s="2458"/>
    </row>
    <row r="138" spans="1:21" s="2457" customFormat="1" ht="13.5" customHeight="1">
      <c r="A138" s="4462"/>
      <c r="B138" s="2469"/>
      <c r="C138" s="2469"/>
      <c r="D138" s="4360" t="s">
        <v>8377</v>
      </c>
      <c r="E138" s="3587"/>
      <c r="F138" s="4464"/>
      <c r="G138" s="2471"/>
      <c r="H138" s="4075"/>
      <c r="I138" s="4116"/>
      <c r="J138" s="2470"/>
      <c r="N138" s="2474"/>
      <c r="P138" s="2458"/>
      <c r="Q138" s="5334"/>
      <c r="R138" s="2458"/>
    </row>
    <row r="139" spans="1:21" s="2457" customFormat="1" ht="13.5" customHeight="1">
      <c r="A139" s="2614">
        <v>23</v>
      </c>
      <c r="B139" s="2469">
        <v>741</v>
      </c>
      <c r="C139" s="2469" t="s">
        <v>8235</v>
      </c>
      <c r="D139" s="2469" t="s">
        <v>8236</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8237</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6519</v>
      </c>
      <c r="E141" s="2469"/>
      <c r="F141" s="4464">
        <v>6</v>
      </c>
      <c r="G141" s="2471"/>
      <c r="H141" s="4075"/>
      <c r="I141" s="4116"/>
      <c r="J141" s="2470"/>
      <c r="N141" s="2474"/>
      <c r="P141" s="2458"/>
      <c r="Q141" s="5334"/>
      <c r="R141" s="2458"/>
    </row>
    <row r="142" spans="1:21" s="2457" customFormat="1" ht="13.5" customHeight="1">
      <c r="A142" s="4361"/>
      <c r="B142" s="2469"/>
      <c r="C142" s="2469"/>
      <c r="D142" s="4463" t="s">
        <v>6520</v>
      </c>
      <c r="E142" s="2469"/>
      <c r="F142" s="4464">
        <v>1</v>
      </c>
      <c r="G142" s="2471"/>
      <c r="H142" s="4075"/>
      <c r="I142" s="4116"/>
      <c r="J142" s="2470"/>
      <c r="N142" s="2474"/>
      <c r="P142" s="2458"/>
      <c r="Q142" s="5334"/>
      <c r="R142" s="2458"/>
    </row>
    <row r="143" spans="1:21" s="2457" customFormat="1" ht="13.5" customHeight="1">
      <c r="A143" s="4361"/>
      <c r="B143" s="2469"/>
      <c r="C143" s="2469"/>
      <c r="D143" s="4463" t="s">
        <v>6521</v>
      </c>
      <c r="E143" s="2469"/>
      <c r="F143" s="4464">
        <v>1</v>
      </c>
      <c r="G143" s="2471"/>
      <c r="H143" s="4075"/>
      <c r="I143" s="4116"/>
      <c r="J143" s="2470"/>
      <c r="N143" s="2474"/>
      <c r="P143" s="2458"/>
      <c r="Q143" s="5334"/>
      <c r="R143" s="2458"/>
    </row>
    <row r="144" spans="1:21" s="2457" customFormat="1" ht="13.5" customHeight="1">
      <c r="A144" s="4462"/>
      <c r="B144" s="2469"/>
      <c r="C144" s="2469"/>
      <c r="D144" s="4360" t="s">
        <v>8377</v>
      </c>
      <c r="E144" s="3587"/>
      <c r="F144" s="4464"/>
      <c r="G144" s="2471"/>
      <c r="H144" s="4075"/>
      <c r="I144" s="4116"/>
      <c r="J144" s="2470"/>
      <c r="N144" s="2474"/>
      <c r="P144" s="2458"/>
      <c r="Q144" s="5334"/>
      <c r="R144" s="2458"/>
    </row>
    <row r="145" spans="1:98" s="2457" customFormat="1" ht="13.5" customHeight="1">
      <c r="A145" s="2614">
        <v>24</v>
      </c>
      <c r="B145" s="2469">
        <v>741</v>
      </c>
      <c r="C145" s="2469" t="s">
        <v>8238</v>
      </c>
      <c r="D145" s="2469" t="s">
        <v>8384</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8239</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6523</v>
      </c>
      <c r="E147" s="2469"/>
      <c r="F147" s="4464">
        <v>27</v>
      </c>
      <c r="G147" s="2471"/>
      <c r="H147" s="4075"/>
      <c r="I147" s="4116"/>
      <c r="J147" s="2470"/>
      <c r="N147" s="2474"/>
      <c r="P147" s="2458"/>
      <c r="Q147" s="5334"/>
      <c r="R147" s="2458"/>
    </row>
    <row r="148" spans="1:98" s="2457" customFormat="1" ht="13.5" customHeight="1">
      <c r="A148" s="4361"/>
      <c r="B148" s="2469"/>
      <c r="C148" s="2469"/>
      <c r="D148" s="4463" t="s">
        <v>6519</v>
      </c>
      <c r="E148" s="2469"/>
      <c r="F148" s="4464">
        <v>15</v>
      </c>
      <c r="G148" s="2471"/>
      <c r="H148" s="4075"/>
      <c r="I148" s="4116"/>
      <c r="J148" s="2470"/>
      <c r="P148" s="2458"/>
      <c r="Q148" s="2458"/>
      <c r="R148" s="2458"/>
    </row>
    <row r="149" spans="1:98" s="2457" customFormat="1" ht="13.5" customHeight="1">
      <c r="A149" s="4361"/>
      <c r="B149" s="2469"/>
      <c r="C149" s="2469"/>
      <c r="D149" s="4463" t="s">
        <v>6520</v>
      </c>
      <c r="E149" s="2469"/>
      <c r="F149" s="4464">
        <v>12</v>
      </c>
      <c r="G149" s="2471"/>
      <c r="H149" s="4075"/>
      <c r="I149" s="4116"/>
      <c r="J149" s="2470"/>
      <c r="P149" s="2458"/>
      <c r="Q149" s="2458"/>
      <c r="R149" s="2458"/>
    </row>
    <row r="150" spans="1:98" s="2560" customFormat="1" ht="13.5" customHeight="1">
      <c r="A150" s="4361"/>
      <c r="B150" s="2469"/>
      <c r="C150" s="2469"/>
      <c r="D150" s="4463" t="s">
        <v>6521</v>
      </c>
      <c r="E150" s="2469"/>
      <c r="F150" s="4464">
        <v>12</v>
      </c>
      <c r="G150" s="2471"/>
      <c r="H150" s="4075"/>
      <c r="I150" s="4116"/>
      <c r="J150" s="2470"/>
      <c r="L150" s="2457"/>
      <c r="P150" s="2458"/>
      <c r="Q150" s="2458"/>
      <c r="R150" s="2458"/>
    </row>
    <row r="151" spans="1:98" s="2457" customFormat="1" ht="13.5" customHeight="1">
      <c r="A151" s="4462"/>
      <c r="B151" s="2469"/>
      <c r="C151" s="2469"/>
      <c r="D151" s="4360" t="s">
        <v>8385</v>
      </c>
      <c r="E151" s="3587"/>
      <c r="F151" s="4464"/>
      <c r="G151" s="2471"/>
      <c r="H151" s="4075"/>
      <c r="I151" s="4116"/>
      <c r="J151" s="2470"/>
      <c r="N151" s="2474"/>
      <c r="P151" s="2458"/>
      <c r="Q151" s="5334"/>
      <c r="R151" s="2458"/>
    </row>
    <row r="152" spans="1:98" s="2457" customFormat="1" ht="13.5" customHeight="1">
      <c r="A152" s="2614">
        <v>25</v>
      </c>
      <c r="B152" s="2469">
        <v>741</v>
      </c>
      <c r="C152" s="2469" t="s">
        <v>8240</v>
      </c>
      <c r="D152" s="2469" t="s">
        <v>8241</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8242</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6523</v>
      </c>
      <c r="E154" s="3587"/>
      <c r="F154" s="4464">
        <v>1</v>
      </c>
      <c r="G154" s="2471"/>
      <c r="H154" s="4075"/>
      <c r="I154" s="4116"/>
      <c r="J154" s="2470"/>
      <c r="N154" s="2474"/>
      <c r="P154" s="2455"/>
      <c r="Q154" s="2458"/>
      <c r="R154" s="2458"/>
    </row>
    <row r="155" spans="1:98" s="2457" customFormat="1" ht="13.5" customHeight="1">
      <c r="A155" s="2614"/>
      <c r="B155" s="2469"/>
      <c r="C155" s="2469"/>
      <c r="D155" s="4463" t="s">
        <v>6519</v>
      </c>
      <c r="E155" s="3587"/>
      <c r="F155" s="4464">
        <v>3</v>
      </c>
      <c r="G155" s="2471"/>
      <c r="H155" s="4075"/>
      <c r="I155" s="4116"/>
      <c r="J155" s="2470"/>
      <c r="P155" s="2458"/>
      <c r="Q155" s="2458"/>
      <c r="R155" s="2458"/>
    </row>
    <row r="156" spans="1:98" s="2457" customFormat="1" ht="13.5" customHeight="1">
      <c r="A156" s="2614"/>
      <c r="B156" s="2469"/>
      <c r="C156" s="2469"/>
      <c r="D156" s="4463" t="s">
        <v>6520</v>
      </c>
      <c r="E156" s="3587"/>
      <c r="F156" s="4464">
        <v>2</v>
      </c>
      <c r="G156" s="2471"/>
      <c r="H156" s="4075"/>
      <c r="I156" s="4116"/>
      <c r="J156" s="2470"/>
      <c r="P156" s="2458"/>
      <c r="Q156" s="2458"/>
      <c r="R156" s="2458"/>
    </row>
    <row r="157" spans="1:98" s="2457" customFormat="1" ht="13.5" customHeight="1">
      <c r="A157" s="4462"/>
      <c r="B157" s="2469"/>
      <c r="C157" s="2469"/>
      <c r="D157" s="4463" t="s">
        <v>6521</v>
      </c>
      <c r="E157" s="3587"/>
      <c r="F157" s="4464">
        <v>2</v>
      </c>
      <c r="G157" s="2471"/>
      <c r="H157" s="4075"/>
      <c r="I157" s="4116"/>
      <c r="J157" s="2470"/>
      <c r="P157" s="2458"/>
      <c r="Q157" s="2458"/>
      <c r="R157" s="2458"/>
    </row>
    <row r="158" spans="1:98" s="2457" customFormat="1" ht="13.5" customHeight="1">
      <c r="A158" s="4462"/>
      <c r="B158" s="2469"/>
      <c r="C158" s="2469"/>
      <c r="D158" s="4463" t="s">
        <v>8178</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8243</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7164</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7165</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8244</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7288</v>
      </c>
      <c r="D164" s="2550" t="s">
        <v>8245</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8246</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6523</v>
      </c>
      <c r="E166" s="2550"/>
      <c r="F166" s="4464">
        <v>55</v>
      </c>
      <c r="G166" s="5279"/>
      <c r="H166" s="4076"/>
      <c r="I166" s="4117"/>
      <c r="J166" s="2551"/>
      <c r="L166" s="5273"/>
    </row>
    <row r="167" spans="1:98" s="2549" customFormat="1" ht="13.5" customHeight="1">
      <c r="A167" s="5283"/>
      <c r="B167" s="5283"/>
      <c r="C167" s="5283"/>
      <c r="D167" s="4360" t="s">
        <v>6519</v>
      </c>
      <c r="E167" s="2550"/>
      <c r="F167" s="4464">
        <v>166</v>
      </c>
      <c r="G167" s="5279"/>
      <c r="H167" s="4076"/>
      <c r="I167" s="4117"/>
      <c r="J167" s="2551"/>
      <c r="L167" s="5273"/>
    </row>
    <row r="168" spans="1:98" s="2549" customFormat="1" ht="13.5" customHeight="1">
      <c r="A168" s="2559"/>
      <c r="B168" s="2550"/>
      <c r="C168" s="2550"/>
      <c r="D168" s="4360" t="s">
        <v>6520</v>
      </c>
      <c r="E168" s="2550"/>
      <c r="F168" s="4464">
        <v>245</v>
      </c>
      <c r="G168" s="5279"/>
      <c r="H168" s="4076"/>
      <c r="I168" s="4117"/>
      <c r="J168" s="2551"/>
    </row>
    <row r="169" spans="1:98" s="2549" customFormat="1" ht="13.5" customHeight="1">
      <c r="A169" s="2559"/>
      <c r="B169" s="2550"/>
      <c r="C169" s="2550"/>
      <c r="D169" s="4360" t="s">
        <v>6521</v>
      </c>
      <c r="E169" s="2550"/>
      <c r="F169" s="4464">
        <v>238</v>
      </c>
      <c r="G169" s="5279"/>
      <c r="H169" s="4076"/>
      <c r="I169" s="4117"/>
      <c r="J169" s="2551"/>
    </row>
    <row r="170" spans="1:98" s="2549" customFormat="1" ht="13.5" customHeight="1">
      <c r="A170" s="2559"/>
      <c r="B170" s="2550"/>
      <c r="C170" s="2550"/>
      <c r="D170" s="4360" t="s">
        <v>7295</v>
      </c>
      <c r="E170" s="5281"/>
      <c r="F170" s="2554"/>
      <c r="G170" s="5279"/>
      <c r="H170" s="4076"/>
      <c r="I170" s="4117"/>
      <c r="J170" s="2551"/>
      <c r="O170" s="5284"/>
    </row>
    <row r="171" spans="1:98" s="2549" customFormat="1" ht="13.5" customHeight="1">
      <c r="A171" s="2614">
        <v>29</v>
      </c>
      <c r="B171" s="2550">
        <v>741</v>
      </c>
      <c r="C171" s="2550" t="s">
        <v>8247</v>
      </c>
      <c r="D171" s="2550" t="s">
        <v>8248</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8249</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6523</v>
      </c>
      <c r="E173" s="2550"/>
      <c r="F173" s="4464">
        <v>48</v>
      </c>
      <c r="G173" s="5279"/>
      <c r="H173" s="4076"/>
      <c r="I173" s="4117"/>
      <c r="J173" s="2551"/>
    </row>
    <row r="174" spans="1:98" s="2549" customFormat="1" ht="13.5" customHeight="1">
      <c r="A174" s="4462"/>
      <c r="B174" s="2550"/>
      <c r="C174" s="2550"/>
      <c r="D174" s="4360" t="s">
        <v>6519</v>
      </c>
      <c r="E174" s="2550"/>
      <c r="F174" s="4464">
        <v>58</v>
      </c>
      <c r="G174" s="5279"/>
      <c r="H174" s="4076"/>
      <c r="I174" s="4117"/>
      <c r="J174" s="2551"/>
    </row>
    <row r="175" spans="1:98" s="2549" customFormat="1" ht="13.5" customHeight="1">
      <c r="A175" s="4462"/>
      <c r="B175" s="2550"/>
      <c r="C175" s="2550"/>
      <c r="D175" s="4360" t="s">
        <v>6520</v>
      </c>
      <c r="E175" s="2550"/>
      <c r="F175" s="4464">
        <v>26</v>
      </c>
      <c r="G175" s="5279"/>
      <c r="H175" s="4076"/>
      <c r="I175" s="4117"/>
      <c r="J175" s="2551"/>
    </row>
    <row r="176" spans="1:98" s="2549" customFormat="1" ht="13.5" customHeight="1">
      <c r="A176" s="4462"/>
      <c r="B176" s="2550"/>
      <c r="C176" s="2550"/>
      <c r="D176" s="4360" t="s">
        <v>6521</v>
      </c>
      <c r="E176" s="2550"/>
      <c r="F176" s="4464">
        <v>32</v>
      </c>
      <c r="G176" s="5279"/>
      <c r="H176" s="4076"/>
      <c r="I176" s="4117"/>
      <c r="J176" s="2551"/>
    </row>
    <row r="177" spans="1:24" s="2549" customFormat="1" ht="13.5" customHeight="1">
      <c r="A177" s="4462"/>
      <c r="B177" s="2550"/>
      <c r="C177" s="2550"/>
      <c r="D177" s="4360" t="s">
        <v>7295</v>
      </c>
      <c r="E177" s="5281"/>
      <c r="F177" s="2554"/>
      <c r="G177" s="5279"/>
      <c r="H177" s="4076"/>
      <c r="I177" s="4117"/>
      <c r="J177" s="2551"/>
    </row>
    <row r="178" spans="1:24" s="2549" customFormat="1" ht="13.5" customHeight="1">
      <c r="A178" s="2614">
        <v>30</v>
      </c>
      <c r="B178" s="2550">
        <v>741</v>
      </c>
      <c r="C178" s="2550" t="s">
        <v>8250</v>
      </c>
      <c r="D178" s="2550" t="s">
        <v>8251</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8252</v>
      </c>
      <c r="E179" s="5281"/>
      <c r="F179" s="5282"/>
      <c r="G179" s="5279"/>
      <c r="H179" s="4076"/>
      <c r="I179" s="4117"/>
      <c r="J179" s="2551"/>
      <c r="K179" s="2528"/>
      <c r="X179" s="5340"/>
    </row>
    <row r="180" spans="1:24" s="2549" customFormat="1" ht="13.5" customHeight="1">
      <c r="A180" s="4462"/>
      <c r="B180" s="2550"/>
      <c r="C180" s="2550"/>
      <c r="D180" s="4360" t="s">
        <v>6523</v>
      </c>
      <c r="E180" s="2550"/>
      <c r="F180" s="4464">
        <v>6</v>
      </c>
      <c r="G180" s="5279"/>
      <c r="H180" s="4076"/>
      <c r="I180" s="4117"/>
      <c r="J180" s="2551"/>
    </row>
    <row r="181" spans="1:24" s="2549" customFormat="1" ht="13.5" customHeight="1">
      <c r="A181" s="4462"/>
      <c r="B181" s="2550"/>
      <c r="C181" s="2550"/>
      <c r="D181" s="4360" t="s">
        <v>6519</v>
      </c>
      <c r="E181" s="2550"/>
      <c r="F181" s="4464">
        <v>1</v>
      </c>
      <c r="G181" s="5279"/>
      <c r="H181" s="4076"/>
      <c r="I181" s="4117"/>
      <c r="J181" s="2551"/>
    </row>
    <row r="182" spans="1:24" s="2549" customFormat="1" ht="13.5" customHeight="1">
      <c r="A182" s="4462"/>
      <c r="B182" s="2550"/>
      <c r="C182" s="2550"/>
      <c r="D182" s="4360" t="s">
        <v>6520</v>
      </c>
      <c r="E182" s="2550"/>
      <c r="F182" s="4464">
        <v>1</v>
      </c>
      <c r="G182" s="5279"/>
      <c r="H182" s="4076"/>
      <c r="I182" s="4117"/>
      <c r="J182" s="2551"/>
    </row>
    <row r="183" spans="1:24" s="2549" customFormat="1" ht="13.5" customHeight="1">
      <c r="A183" s="4462"/>
      <c r="B183" s="2550"/>
      <c r="C183" s="2550"/>
      <c r="D183" s="4360" t="s">
        <v>7295</v>
      </c>
      <c r="F183" s="5284"/>
      <c r="G183" s="5279"/>
      <c r="H183" s="4076"/>
      <c r="I183" s="4117"/>
      <c r="J183" s="2551"/>
    </row>
    <row r="184" spans="1:24" s="2549" customFormat="1" ht="13.5" customHeight="1">
      <c r="A184" s="2614">
        <v>31</v>
      </c>
      <c r="B184" s="2550">
        <v>741</v>
      </c>
      <c r="C184" s="2550" t="s">
        <v>8253</v>
      </c>
      <c r="D184" s="5285" t="s">
        <v>8254</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8255</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6330</v>
      </c>
      <c r="E186" s="2550"/>
      <c r="F186" s="4464">
        <v>19</v>
      </c>
      <c r="G186" s="5279"/>
      <c r="H186" s="4076"/>
      <c r="I186" s="4117"/>
      <c r="J186" s="2551"/>
    </row>
    <row r="187" spans="1:24" s="2549" customFormat="1" ht="13.5" customHeight="1">
      <c r="A187" s="4462"/>
      <c r="B187" s="2550"/>
      <c r="C187" s="2550"/>
      <c r="D187" s="2553" t="s">
        <v>6802</v>
      </c>
      <c r="E187" s="2550"/>
      <c r="F187" s="4464">
        <v>69</v>
      </c>
      <c r="G187" s="5279"/>
      <c r="H187" s="4076"/>
      <c r="I187" s="4117"/>
      <c r="J187" s="2551"/>
    </row>
    <row r="188" spans="1:24" s="2549" customFormat="1" ht="13.5" customHeight="1">
      <c r="A188" s="4462"/>
      <c r="B188" s="2550"/>
      <c r="C188" s="2550"/>
      <c r="D188" s="2553" t="s">
        <v>6520</v>
      </c>
      <c r="E188" s="2550"/>
      <c r="F188" s="4464">
        <v>81</v>
      </c>
      <c r="G188" s="5279"/>
      <c r="H188" s="4076"/>
      <c r="I188" s="4117"/>
      <c r="J188" s="2551"/>
    </row>
    <row r="189" spans="1:24" s="2549" customFormat="1" ht="13.5" customHeight="1">
      <c r="A189" s="4462"/>
      <c r="B189" s="2550"/>
      <c r="C189" s="2550"/>
      <c r="D189" s="2553" t="s">
        <v>6521</v>
      </c>
      <c r="E189" s="2550"/>
      <c r="F189" s="4464">
        <v>86</v>
      </c>
      <c r="G189" s="5279"/>
      <c r="H189" s="4076"/>
      <c r="I189" s="4117"/>
      <c r="J189" s="2551"/>
    </row>
    <row r="190" spans="1:24" s="2549" customFormat="1" ht="13.5" customHeight="1">
      <c r="A190" s="4462"/>
      <c r="B190" s="2550"/>
      <c r="C190" s="2550"/>
      <c r="D190" s="2553" t="s">
        <v>7477</v>
      </c>
      <c r="E190" s="2550"/>
      <c r="F190" s="4464">
        <v>24</v>
      </c>
      <c r="G190" s="5279"/>
      <c r="H190" s="4076"/>
      <c r="I190" s="4117"/>
      <c r="J190" s="2551"/>
    </row>
    <row r="191" spans="1:24" s="2549" customFormat="1" ht="13.5" customHeight="1">
      <c r="A191" s="4462"/>
      <c r="B191" s="2550"/>
      <c r="C191" s="2550"/>
      <c r="D191" s="2553" t="s">
        <v>8256</v>
      </c>
      <c r="E191" s="2550"/>
      <c r="F191" s="2554"/>
      <c r="G191" s="5279"/>
      <c r="H191" s="4076"/>
      <c r="I191" s="4117"/>
      <c r="J191" s="2551"/>
    </row>
    <row r="192" spans="1:24" s="2549" customFormat="1" ht="13.5" customHeight="1">
      <c r="A192" s="2614">
        <v>32</v>
      </c>
      <c r="B192" s="2550">
        <v>741</v>
      </c>
      <c r="C192" s="2550" t="s">
        <v>8257</v>
      </c>
      <c r="D192" s="5285" t="s">
        <v>8258</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8259</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8260</v>
      </c>
      <c r="E194" s="2550"/>
      <c r="F194" s="4464">
        <v>11</v>
      </c>
      <c r="G194" s="5279"/>
      <c r="H194" s="4076"/>
      <c r="I194" s="4117"/>
      <c r="J194" s="2551"/>
    </row>
    <row r="195" spans="1:24" s="2549" customFormat="1" ht="13.5" customHeight="1">
      <c r="A195" s="4462"/>
      <c r="B195" s="2550"/>
      <c r="C195" s="2550"/>
      <c r="D195" s="2553" t="s">
        <v>6520</v>
      </c>
      <c r="E195" s="2550"/>
      <c r="F195" s="4464">
        <v>1</v>
      </c>
      <c r="G195" s="5279"/>
      <c r="H195" s="4076"/>
      <c r="I195" s="4117"/>
      <c r="J195" s="2551"/>
    </row>
    <row r="196" spans="1:24" s="2549" customFormat="1" ht="13.5" customHeight="1">
      <c r="A196" s="4462"/>
      <c r="B196" s="2550"/>
      <c r="C196" s="2550"/>
      <c r="D196" s="2553" t="s">
        <v>6521</v>
      </c>
      <c r="E196" s="2550"/>
      <c r="F196" s="4464">
        <v>6</v>
      </c>
      <c r="G196" s="5279"/>
      <c r="H196" s="4076"/>
      <c r="I196" s="4117"/>
      <c r="J196" s="2551"/>
    </row>
    <row r="197" spans="1:24" s="2549" customFormat="1" ht="13.5" customHeight="1">
      <c r="A197" s="4462"/>
      <c r="B197" s="2550"/>
      <c r="C197" s="2550"/>
      <c r="D197" s="2553" t="s">
        <v>7477</v>
      </c>
      <c r="E197" s="2550"/>
      <c r="F197" s="4464">
        <v>33</v>
      </c>
      <c r="G197" s="5279"/>
      <c r="H197" s="4076"/>
      <c r="I197" s="4117"/>
      <c r="J197" s="2551"/>
    </row>
    <row r="198" spans="1:24" s="2549" customFormat="1" ht="13.5" customHeight="1">
      <c r="A198" s="4462"/>
      <c r="B198" s="2550"/>
      <c r="C198" s="2550"/>
      <c r="D198" s="2553" t="s">
        <v>8256</v>
      </c>
      <c r="E198" s="2550"/>
      <c r="F198" s="2554"/>
      <c r="G198" s="5279"/>
      <c r="H198" s="4076"/>
      <c r="I198" s="4117"/>
      <c r="J198" s="2551"/>
    </row>
    <row r="199" spans="1:24" s="2549" customFormat="1" ht="13.5" customHeight="1">
      <c r="A199" s="2614">
        <v>33</v>
      </c>
      <c r="B199" s="2550">
        <v>741</v>
      </c>
      <c r="C199" s="2550" t="s">
        <v>8261</v>
      </c>
      <c r="D199" s="5285" t="s">
        <v>8262</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8263</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6519</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6520</v>
      </c>
      <c r="E202" s="2550"/>
      <c r="F202" s="2554">
        <v>26</v>
      </c>
      <c r="G202" s="5279"/>
      <c r="H202" s="4076"/>
      <c r="I202" s="4117"/>
      <c r="J202" s="2551"/>
    </row>
    <row r="203" spans="1:24" s="2549" customFormat="1" ht="13.5" customHeight="1">
      <c r="A203" s="4462"/>
      <c r="B203" s="2550"/>
      <c r="C203" s="2550"/>
      <c r="D203" s="4360" t="s">
        <v>6521</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7291</v>
      </c>
      <c r="E204" s="5281"/>
      <c r="F204" s="5286"/>
      <c r="G204" s="5279"/>
      <c r="H204" s="4076"/>
      <c r="I204" s="4117"/>
      <c r="J204" s="2551"/>
    </row>
    <row r="205" spans="1:24" s="2549" customFormat="1" ht="13.5" customHeight="1">
      <c r="A205" s="2614">
        <v>34</v>
      </c>
      <c r="B205" s="2550">
        <v>741</v>
      </c>
      <c r="C205" s="2550" t="s">
        <v>8264</v>
      </c>
      <c r="D205" s="2550" t="s">
        <v>8265</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8266</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6519</v>
      </c>
      <c r="E207" s="2550"/>
      <c r="F207" s="4464">
        <v>1</v>
      </c>
      <c r="G207" s="5279"/>
      <c r="H207" s="4076"/>
      <c r="I207" s="4117"/>
      <c r="J207" s="2551"/>
    </row>
    <row r="208" spans="1:24" s="2549" customFormat="1" ht="13.5" customHeight="1">
      <c r="A208" s="4462"/>
      <c r="B208" s="2550"/>
      <c r="C208" s="2550"/>
      <c r="D208" s="2553" t="s">
        <v>7291</v>
      </c>
      <c r="E208" s="2550"/>
      <c r="F208" s="2554"/>
      <c r="G208" s="5279"/>
      <c r="H208" s="4076"/>
      <c r="I208" s="4117"/>
      <c r="J208" s="2551"/>
    </row>
    <row r="209" spans="1:24" s="2549" customFormat="1" ht="13.5" customHeight="1">
      <c r="A209" s="2614">
        <v>35</v>
      </c>
      <c r="B209" s="2550">
        <v>741</v>
      </c>
      <c r="C209" s="2550" t="s">
        <v>8267</v>
      </c>
      <c r="D209" s="2550" t="s">
        <v>8268</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8269</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6519</v>
      </c>
      <c r="E211" s="2550"/>
      <c r="F211" s="4464">
        <v>1</v>
      </c>
      <c r="G211" s="5279"/>
      <c r="H211" s="4076"/>
      <c r="I211" s="4117"/>
      <c r="J211" s="2551"/>
    </row>
    <row r="212" spans="1:24" s="2549" customFormat="1" ht="13.5" customHeight="1">
      <c r="A212" s="4462"/>
      <c r="B212" s="2550"/>
      <c r="C212" s="2550"/>
      <c r="D212" s="2553" t="s">
        <v>7291</v>
      </c>
      <c r="E212" s="2550"/>
      <c r="F212" s="2554"/>
      <c r="G212" s="5279"/>
      <c r="H212" s="4076"/>
      <c r="I212" s="4117"/>
      <c r="J212" s="2551"/>
    </row>
    <row r="213" spans="1:24" s="2549" customFormat="1" ht="13.5" customHeight="1">
      <c r="A213" s="2614">
        <v>36</v>
      </c>
      <c r="B213" s="2550">
        <v>741</v>
      </c>
      <c r="C213" s="2550" t="s">
        <v>7292</v>
      </c>
      <c r="D213" s="2550" t="s">
        <v>8270</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8271</v>
      </c>
      <c r="E214" s="2550"/>
      <c r="F214" s="4464"/>
      <c r="G214" s="5279"/>
      <c r="H214" s="4076"/>
      <c r="I214" s="4117"/>
      <c r="J214" s="2551"/>
      <c r="K214" s="2528"/>
    </row>
    <row r="215" spans="1:24" s="2549" customFormat="1" ht="13.5" customHeight="1">
      <c r="A215" s="4462"/>
      <c r="B215" s="2550"/>
      <c r="C215" s="2550"/>
      <c r="D215" s="2553" t="s">
        <v>6802</v>
      </c>
      <c r="E215" s="2550"/>
      <c r="F215" s="4464">
        <v>5</v>
      </c>
      <c r="G215" s="5279"/>
      <c r="H215" s="4076"/>
      <c r="I215" s="4117"/>
      <c r="J215" s="2551"/>
      <c r="K215" s="2528"/>
    </row>
    <row r="216" spans="1:24" s="2549" customFormat="1" ht="13.5" customHeight="1">
      <c r="A216" s="4462"/>
      <c r="B216" s="2550"/>
      <c r="C216" s="2550"/>
      <c r="D216" s="2553" t="s">
        <v>6520</v>
      </c>
      <c r="E216" s="2550"/>
      <c r="F216" s="4464">
        <v>4</v>
      </c>
      <c r="G216" s="5279"/>
      <c r="H216" s="4076"/>
      <c r="I216" s="4117"/>
      <c r="J216" s="2551"/>
    </row>
    <row r="217" spans="1:24" s="2549" customFormat="1" ht="13.5" customHeight="1">
      <c r="A217" s="4462"/>
      <c r="B217" s="2550"/>
      <c r="C217" s="2550"/>
      <c r="D217" s="2553" t="s">
        <v>6521</v>
      </c>
      <c r="E217" s="2550"/>
      <c r="F217" s="4464">
        <v>4</v>
      </c>
      <c r="G217" s="5279"/>
      <c r="H217" s="4076"/>
      <c r="I217" s="4117"/>
      <c r="J217" s="2551"/>
    </row>
    <row r="218" spans="1:24" s="2549" customFormat="1" ht="13.5" customHeight="1">
      <c r="A218" s="5287"/>
      <c r="B218" s="2550"/>
      <c r="C218" s="5287"/>
      <c r="D218" s="2553" t="s">
        <v>8272</v>
      </c>
      <c r="E218" s="5288"/>
      <c r="F218" s="2554"/>
      <c r="G218" s="2557"/>
      <c r="H218" s="3997"/>
      <c r="I218" s="4053"/>
      <c r="J218" s="3590"/>
      <c r="K218" s="1061"/>
      <c r="M218" s="1061"/>
    </row>
    <row r="219" spans="1:24" s="2549" customFormat="1" ht="13.5" customHeight="1">
      <c r="A219" s="2614">
        <v>37</v>
      </c>
      <c r="B219" s="2550">
        <v>741</v>
      </c>
      <c r="C219" s="2550" t="s">
        <v>8273</v>
      </c>
      <c r="D219" s="5285" t="s">
        <v>8274</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8275</v>
      </c>
      <c r="E220" s="5281"/>
      <c r="F220" s="2554"/>
      <c r="G220" s="2557"/>
      <c r="H220" s="4076"/>
      <c r="I220" s="4117"/>
      <c r="J220" s="2551"/>
      <c r="K220" s="5340"/>
      <c r="L220" s="4838"/>
      <c r="M220" s="1061"/>
      <c r="X220" s="5341"/>
    </row>
    <row r="221" spans="1:24" s="2549" customFormat="1" ht="13.5" customHeight="1">
      <c r="A221" s="5287"/>
      <c r="B221" s="2550"/>
      <c r="C221" s="5287"/>
      <c r="D221" s="2553" t="s">
        <v>6330</v>
      </c>
      <c r="E221" s="2550"/>
      <c r="F221" s="2554">
        <v>14</v>
      </c>
      <c r="G221" s="2557"/>
      <c r="H221" s="4076"/>
      <c r="I221" s="4117"/>
      <c r="J221" s="2551"/>
      <c r="K221" s="2528"/>
      <c r="M221" s="1061"/>
      <c r="X221" s="5341"/>
    </row>
    <row r="222" spans="1:24" s="2549" customFormat="1" ht="13.5" customHeight="1">
      <c r="A222" s="5287"/>
      <c r="B222" s="2550"/>
      <c r="C222" s="5287"/>
      <c r="D222" s="2553" t="s">
        <v>6802</v>
      </c>
      <c r="E222" s="2550"/>
      <c r="F222" s="2554">
        <v>46</v>
      </c>
      <c r="G222" s="2557"/>
      <c r="H222" s="4076"/>
      <c r="I222" s="4117"/>
      <c r="J222" s="2551"/>
      <c r="K222" s="1061"/>
      <c r="M222" s="1061"/>
    </row>
    <row r="223" spans="1:24" s="2549" customFormat="1" ht="13.5" customHeight="1">
      <c r="A223" s="5287"/>
      <c r="B223" s="2550"/>
      <c r="C223" s="5287"/>
      <c r="D223" s="2553" t="s">
        <v>6520</v>
      </c>
      <c r="E223" s="2550"/>
      <c r="F223" s="2554">
        <v>34</v>
      </c>
      <c r="G223" s="2557"/>
      <c r="H223" s="4076"/>
      <c r="I223" s="4117"/>
      <c r="J223" s="2551"/>
      <c r="K223" s="1061"/>
      <c r="M223" s="1061"/>
    </row>
    <row r="224" spans="1:24" s="2549" customFormat="1" ht="13.5" customHeight="1">
      <c r="A224" s="5287"/>
      <c r="B224" s="2550"/>
      <c r="C224" s="5287"/>
      <c r="D224" s="2553" t="s">
        <v>6521</v>
      </c>
      <c r="E224" s="2550"/>
      <c r="F224" s="2554">
        <v>37</v>
      </c>
      <c r="G224" s="2557"/>
      <c r="H224" s="4076"/>
      <c r="I224" s="4117"/>
      <c r="J224" s="2551"/>
      <c r="K224" s="1061"/>
      <c r="M224" s="1061"/>
    </row>
    <row r="225" spans="1:24" s="2549" customFormat="1" ht="13.5" customHeight="1">
      <c r="A225" s="5287"/>
      <c r="B225" s="2550"/>
      <c r="C225" s="5287"/>
      <c r="D225" s="2553" t="s">
        <v>7291</v>
      </c>
      <c r="E225" s="5281"/>
      <c r="F225" s="5286"/>
      <c r="G225" s="2557"/>
      <c r="H225" s="4076"/>
      <c r="I225" s="4117"/>
      <c r="J225" s="2551"/>
      <c r="K225" s="1061"/>
      <c r="M225" s="1061"/>
    </row>
    <row r="226" spans="1:24" s="2549" customFormat="1" ht="13.5" customHeight="1">
      <c r="A226" s="2614">
        <v>38</v>
      </c>
      <c r="B226" s="2550">
        <v>741</v>
      </c>
      <c r="C226" s="2550" t="s">
        <v>8276</v>
      </c>
      <c r="D226" s="2550" t="s">
        <v>7289</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7290</v>
      </c>
      <c r="E227" s="5281"/>
      <c r="F227" s="5286"/>
      <c r="G227" s="2557"/>
      <c r="H227" s="4076"/>
      <c r="I227" s="4117"/>
      <c r="J227" s="2551"/>
      <c r="K227" s="5340"/>
      <c r="L227" s="4838"/>
      <c r="M227" s="1061"/>
      <c r="X227" s="5341"/>
    </row>
    <row r="228" spans="1:24" s="2549" customFormat="1" ht="13.5" customHeight="1">
      <c r="A228" s="5287"/>
      <c r="B228" s="2550"/>
      <c r="C228" s="5287"/>
      <c r="D228" s="2553" t="s">
        <v>6330</v>
      </c>
      <c r="E228" s="2550"/>
      <c r="F228" s="2554">
        <v>11</v>
      </c>
      <c r="G228" s="2557"/>
      <c r="H228" s="4076"/>
      <c r="I228" s="4117"/>
      <c r="J228" s="2551"/>
      <c r="K228" s="1061"/>
      <c r="M228" s="1061"/>
      <c r="X228" s="5341"/>
    </row>
    <row r="229" spans="1:24" s="2549" customFormat="1" ht="13.5" customHeight="1">
      <c r="A229" s="5287"/>
      <c r="B229" s="2550"/>
      <c r="C229" s="5287"/>
      <c r="D229" s="2553" t="s">
        <v>6802</v>
      </c>
      <c r="E229" s="2550"/>
      <c r="F229" s="2554">
        <v>5</v>
      </c>
      <c r="G229" s="2557"/>
      <c r="H229" s="4076"/>
      <c r="I229" s="4117"/>
      <c r="J229" s="2551"/>
      <c r="K229" s="1061"/>
      <c r="M229" s="1061"/>
    </row>
    <row r="230" spans="1:24" s="2549" customFormat="1" ht="13.5" customHeight="1">
      <c r="A230" s="5287"/>
      <c r="B230" s="2550"/>
      <c r="C230" s="5287"/>
      <c r="D230" s="2553" t="s">
        <v>6520</v>
      </c>
      <c r="E230" s="2550"/>
      <c r="F230" s="2554">
        <v>2</v>
      </c>
      <c r="G230" s="2557"/>
      <c r="H230" s="4076"/>
      <c r="I230" s="4117"/>
      <c r="J230" s="2551"/>
      <c r="K230" s="1061"/>
      <c r="M230" s="1061"/>
    </row>
    <row r="231" spans="1:24" s="2549" customFormat="1" ht="13.5" customHeight="1">
      <c r="A231" s="5287"/>
      <c r="B231" s="2550"/>
      <c r="C231" s="5287"/>
      <c r="D231" s="2553" t="s">
        <v>6521</v>
      </c>
      <c r="E231" s="2550"/>
      <c r="F231" s="2554">
        <v>4</v>
      </c>
      <c r="G231" s="2557"/>
      <c r="H231" s="4076"/>
      <c r="I231" s="4117"/>
      <c r="J231" s="2551"/>
      <c r="K231" s="1061"/>
      <c r="M231" s="1061"/>
    </row>
    <row r="232" spans="1:24" s="2549" customFormat="1" ht="13.5" customHeight="1">
      <c r="A232" s="5287"/>
      <c r="B232" s="2550"/>
      <c r="C232" s="5287"/>
      <c r="D232" s="2553" t="s">
        <v>7291</v>
      </c>
      <c r="E232" s="5281"/>
      <c r="F232" s="2554"/>
      <c r="G232" s="2557"/>
      <c r="H232" s="4076"/>
      <c r="I232" s="4117"/>
      <c r="J232" s="2551"/>
      <c r="K232" s="1061"/>
      <c r="M232" s="1061"/>
    </row>
    <row r="233" spans="1:24" s="2549" customFormat="1" ht="13.5" customHeight="1">
      <c r="A233" s="2614">
        <v>39</v>
      </c>
      <c r="B233" s="2550">
        <v>741</v>
      </c>
      <c r="C233" s="2550" t="s">
        <v>8277</v>
      </c>
      <c r="D233" s="5285" t="s">
        <v>8278</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8279</v>
      </c>
      <c r="E234" s="5281"/>
      <c r="F234" s="2554"/>
      <c r="G234" s="2557"/>
      <c r="H234" s="4076"/>
      <c r="I234" s="4117"/>
      <c r="J234" s="2551"/>
      <c r="K234" s="5340"/>
      <c r="L234" s="4838"/>
      <c r="M234" s="1061"/>
      <c r="X234" s="5341"/>
    </row>
    <row r="235" spans="1:24" s="2549" customFormat="1" ht="13.5" customHeight="1">
      <c r="A235" s="5287"/>
      <c r="B235" s="2550"/>
      <c r="C235" s="5287"/>
      <c r="D235" s="2553" t="s">
        <v>6802</v>
      </c>
      <c r="E235" s="2550"/>
      <c r="F235" s="2554">
        <v>1</v>
      </c>
      <c r="G235" s="2557"/>
      <c r="H235" s="4076"/>
      <c r="I235" s="4117"/>
      <c r="J235" s="2551"/>
      <c r="K235" s="1061"/>
      <c r="M235" s="1061"/>
      <c r="X235" s="5341"/>
    </row>
    <row r="236" spans="1:24" s="2549" customFormat="1" ht="13.5" customHeight="1">
      <c r="A236" s="5287"/>
      <c r="B236" s="2550"/>
      <c r="C236" s="5287"/>
      <c r="D236" s="2553" t="s">
        <v>6521</v>
      </c>
      <c r="E236" s="2550"/>
      <c r="F236" s="2554">
        <v>1</v>
      </c>
      <c r="G236" s="2557"/>
      <c r="H236" s="4076"/>
      <c r="I236" s="4117"/>
      <c r="J236" s="2551"/>
      <c r="K236" s="1061"/>
      <c r="M236" s="1061"/>
    </row>
    <row r="237" spans="1:24" s="2549" customFormat="1" ht="13.5" customHeight="1">
      <c r="A237" s="5287"/>
      <c r="B237" s="2550"/>
      <c r="C237" s="5287"/>
      <c r="D237" s="2553" t="s">
        <v>7291</v>
      </c>
      <c r="E237" s="5281"/>
      <c r="F237" s="5286"/>
      <c r="G237" s="2557"/>
      <c r="H237" s="4076"/>
      <c r="I237" s="4117"/>
      <c r="J237" s="2551"/>
      <c r="K237" s="1061"/>
      <c r="M237" s="1061"/>
    </row>
    <row r="238" spans="1:24" s="2549" customFormat="1" ht="13.5" customHeight="1">
      <c r="A238" s="2614">
        <v>40</v>
      </c>
      <c r="B238" s="2550">
        <v>741</v>
      </c>
      <c r="C238" s="2550" t="s">
        <v>8280</v>
      </c>
      <c r="D238" s="5285" t="s">
        <v>8281</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8282</v>
      </c>
      <c r="E239" s="5281"/>
      <c r="F239" s="2554"/>
      <c r="G239" s="2557"/>
      <c r="H239" s="4076"/>
      <c r="I239" s="4117"/>
      <c r="J239" s="2551"/>
      <c r="K239" s="5340"/>
      <c r="L239" s="4838"/>
      <c r="M239" s="1061"/>
      <c r="X239" s="5341"/>
    </row>
    <row r="240" spans="1:24" s="2549" customFormat="1" ht="13.5" customHeight="1">
      <c r="A240" s="5287"/>
      <c r="B240" s="2550"/>
      <c r="C240" s="5287"/>
      <c r="D240" s="2553" t="s">
        <v>6330</v>
      </c>
      <c r="E240" s="2550"/>
      <c r="F240" s="2554">
        <v>12</v>
      </c>
      <c r="G240" s="2557"/>
      <c r="H240" s="4076"/>
      <c r="I240" s="4117"/>
      <c r="J240" s="2551"/>
      <c r="K240" s="1061"/>
      <c r="M240" s="1061"/>
      <c r="X240" s="5341"/>
    </row>
    <row r="241" spans="1:24" s="2549" customFormat="1" ht="13.5" customHeight="1">
      <c r="A241" s="5287"/>
      <c r="B241" s="2550"/>
      <c r="C241" s="5287"/>
      <c r="D241" s="2553" t="s">
        <v>6802</v>
      </c>
      <c r="E241" s="2550"/>
      <c r="F241" s="2554">
        <v>82</v>
      </c>
      <c r="G241" s="2557"/>
      <c r="H241" s="4076"/>
      <c r="I241" s="4117"/>
      <c r="J241" s="2551"/>
      <c r="K241" s="1061"/>
      <c r="M241" s="1061"/>
    </row>
    <row r="242" spans="1:24" s="2549" customFormat="1" ht="13.5" customHeight="1">
      <c r="A242" s="5287"/>
      <c r="B242" s="2550"/>
      <c r="C242" s="5287"/>
      <c r="D242" s="2553" t="s">
        <v>6520</v>
      </c>
      <c r="E242" s="2550"/>
      <c r="F242" s="2554">
        <v>112</v>
      </c>
      <c r="G242" s="2557"/>
      <c r="H242" s="4076"/>
      <c r="I242" s="4117"/>
      <c r="J242" s="2551"/>
      <c r="K242" s="1061"/>
      <c r="M242" s="1061"/>
    </row>
    <row r="243" spans="1:24" s="2549" customFormat="1" ht="13.5" customHeight="1">
      <c r="A243" s="5287"/>
      <c r="B243" s="2550"/>
      <c r="C243" s="5287"/>
      <c r="D243" s="2553" t="s">
        <v>6521</v>
      </c>
      <c r="E243" s="2550"/>
      <c r="F243" s="2554">
        <v>108</v>
      </c>
      <c r="G243" s="2557"/>
      <c r="H243" s="4076"/>
      <c r="I243" s="4117"/>
      <c r="J243" s="2551"/>
      <c r="K243" s="1061"/>
      <c r="M243" s="1061"/>
    </row>
    <row r="244" spans="1:24" s="2549" customFormat="1" ht="13.5" customHeight="1">
      <c r="A244" s="5287"/>
      <c r="B244" s="2550"/>
      <c r="C244" s="5287"/>
      <c r="D244" s="2553" t="s">
        <v>7291</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8283</v>
      </c>
      <c r="D245" s="5285" t="s">
        <v>8284</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8285</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6330</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6520</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6521</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7291</v>
      </c>
      <c r="E250" s="5281"/>
      <c r="F250" s="5286"/>
      <c r="G250" s="2557"/>
      <c r="H250" s="4076"/>
      <c r="I250" s="4117"/>
      <c r="J250" s="2551"/>
      <c r="K250" s="1061"/>
      <c r="M250" s="1061"/>
    </row>
    <row r="251" spans="1:24" s="2549" customFormat="1" ht="13.5" customHeight="1">
      <c r="A251" s="2614">
        <v>42</v>
      </c>
      <c r="B251" s="2550">
        <v>741</v>
      </c>
      <c r="C251" s="2550" t="s">
        <v>8286</v>
      </c>
      <c r="D251" s="5285" t="s">
        <v>8287</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8288</v>
      </c>
      <c r="E252" s="5281"/>
      <c r="F252" s="2554"/>
      <c r="G252" s="2557"/>
      <c r="H252" s="4076"/>
      <c r="I252" s="4117"/>
      <c r="J252" s="2551"/>
      <c r="K252" s="1061"/>
      <c r="M252" s="1061"/>
      <c r="X252" s="5341"/>
    </row>
    <row r="253" spans="1:24" s="2549" customFormat="1" ht="13.5" customHeight="1">
      <c r="A253" s="5287"/>
      <c r="B253" s="2550"/>
      <c r="C253" s="5287"/>
      <c r="D253" s="2553" t="s">
        <v>6330</v>
      </c>
      <c r="E253" s="2550"/>
      <c r="F253" s="2554">
        <v>1</v>
      </c>
      <c r="G253" s="2557"/>
      <c r="H253" s="4076"/>
      <c r="I253" s="4117"/>
      <c r="J253" s="2551"/>
      <c r="K253" s="1061"/>
      <c r="M253" s="1061"/>
    </row>
    <row r="254" spans="1:24" s="2549" customFormat="1" ht="13.5" customHeight="1">
      <c r="A254" s="5287"/>
      <c r="B254" s="2550"/>
      <c r="C254" s="5287"/>
      <c r="D254" s="2553" t="s">
        <v>6802</v>
      </c>
      <c r="E254" s="2550"/>
      <c r="F254" s="2554">
        <v>4</v>
      </c>
      <c r="G254" s="2557"/>
      <c r="H254" s="4076"/>
      <c r="I254" s="4117"/>
      <c r="J254" s="2551"/>
      <c r="K254" s="1061"/>
      <c r="M254" s="1061"/>
    </row>
    <row r="255" spans="1:24" s="2549" customFormat="1" ht="13.5" customHeight="1">
      <c r="A255" s="5287"/>
      <c r="B255" s="2550"/>
      <c r="C255" s="5287"/>
      <c r="D255" s="2553" t="s">
        <v>6520</v>
      </c>
      <c r="E255" s="2550"/>
      <c r="F255" s="2554">
        <v>1</v>
      </c>
      <c r="G255" s="2557"/>
      <c r="H255" s="4076"/>
      <c r="I255" s="4117"/>
      <c r="J255" s="2551"/>
      <c r="K255" s="1061"/>
      <c r="M255" s="1061"/>
    </row>
    <row r="256" spans="1:24" s="2549" customFormat="1" ht="13.5" customHeight="1">
      <c r="A256" s="5287"/>
      <c r="B256" s="2550"/>
      <c r="C256" s="5287"/>
      <c r="D256" s="2553" t="s">
        <v>6521</v>
      </c>
      <c r="E256" s="2550"/>
      <c r="F256" s="2554">
        <v>2</v>
      </c>
      <c r="G256" s="2557"/>
      <c r="H256" s="4076"/>
      <c r="I256" s="4117"/>
      <c r="J256" s="2551"/>
      <c r="K256" s="1061"/>
      <c r="M256" s="1061"/>
    </row>
    <row r="257" spans="1:24" s="2549" customFormat="1" ht="13.5" customHeight="1">
      <c r="A257" s="5287"/>
      <c r="B257" s="2550"/>
      <c r="C257" s="5287"/>
      <c r="D257" s="2553" t="s">
        <v>7291</v>
      </c>
      <c r="E257" s="5281"/>
      <c r="F257" s="5286"/>
      <c r="G257" s="2557"/>
      <c r="H257" s="4076"/>
      <c r="I257" s="4117"/>
      <c r="J257" s="2551"/>
      <c r="K257" s="1061"/>
      <c r="M257" s="1061"/>
    </row>
    <row r="258" spans="1:24" s="2549" customFormat="1" ht="13.5" customHeight="1">
      <c r="A258" s="2614">
        <v>43</v>
      </c>
      <c r="B258" s="2550">
        <v>741</v>
      </c>
      <c r="C258" s="2550" t="s">
        <v>8289</v>
      </c>
      <c r="D258" s="5285" t="s">
        <v>8290</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8291</v>
      </c>
      <c r="E259" s="5281"/>
      <c r="F259" s="2554"/>
      <c r="G259" s="2557"/>
      <c r="H259" s="4076"/>
      <c r="I259" s="4117"/>
      <c r="J259" s="2551"/>
      <c r="K259" s="1061"/>
      <c r="M259" s="1061"/>
      <c r="X259" s="5341"/>
    </row>
    <row r="260" spans="1:24" s="2549" customFormat="1" ht="13.5" customHeight="1">
      <c r="A260" s="5287"/>
      <c r="B260" s="2550"/>
      <c r="C260" s="5287"/>
      <c r="D260" s="2553" t="s">
        <v>6330</v>
      </c>
      <c r="E260" s="2550"/>
      <c r="F260" s="2554">
        <v>2</v>
      </c>
      <c r="G260" s="2557"/>
      <c r="H260" s="4076"/>
      <c r="I260" s="4117"/>
      <c r="J260" s="2551"/>
      <c r="K260" s="1061"/>
      <c r="M260" s="1061"/>
    </row>
    <row r="261" spans="1:24" s="2549" customFormat="1" ht="13.5" customHeight="1">
      <c r="A261" s="5287"/>
      <c r="B261" s="2550"/>
      <c r="C261" s="5287"/>
      <c r="D261" s="2553" t="s">
        <v>7291</v>
      </c>
      <c r="E261" s="5281"/>
      <c r="F261" s="5286"/>
      <c r="G261" s="2557"/>
      <c r="H261" s="4076"/>
      <c r="I261" s="4117"/>
      <c r="J261" s="2551"/>
      <c r="K261" s="1061"/>
      <c r="M261" s="1061"/>
    </row>
    <row r="262" spans="1:24" s="2549" customFormat="1" ht="13.5" customHeight="1">
      <c r="A262" s="2614">
        <v>44</v>
      </c>
      <c r="B262" s="2550">
        <v>741</v>
      </c>
      <c r="C262" s="2550" t="s">
        <v>8292</v>
      </c>
      <c r="D262" s="5285" t="s">
        <v>8293</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8294</v>
      </c>
      <c r="E263" s="5281"/>
      <c r="F263" s="2554"/>
      <c r="G263" s="2557"/>
      <c r="H263" s="4076"/>
      <c r="I263" s="4117"/>
      <c r="J263" s="2551"/>
      <c r="K263" s="5273"/>
      <c r="L263" s="1061"/>
      <c r="M263" s="1061"/>
      <c r="X263" s="5341"/>
    </row>
    <row r="264" spans="1:24" s="2549" customFormat="1" ht="13.5" customHeight="1">
      <c r="A264" s="5287"/>
      <c r="B264" s="2550"/>
      <c r="C264" s="5287"/>
      <c r="D264" s="2553" t="s">
        <v>6330</v>
      </c>
      <c r="E264" s="2550"/>
      <c r="F264" s="2554">
        <v>13</v>
      </c>
      <c r="G264" s="2557"/>
      <c r="H264" s="4076"/>
      <c r="I264" s="4117"/>
      <c r="J264" s="2551"/>
      <c r="K264" s="1061"/>
      <c r="M264" s="1061"/>
    </row>
    <row r="265" spans="1:24" s="2549" customFormat="1" ht="13.5" customHeight="1">
      <c r="A265" s="5287"/>
      <c r="B265" s="2550"/>
      <c r="C265" s="5287"/>
      <c r="D265" s="2553" t="s">
        <v>6802</v>
      </c>
      <c r="E265" s="2550"/>
      <c r="F265" s="2554">
        <v>8</v>
      </c>
      <c r="G265" s="2557"/>
      <c r="H265" s="4076"/>
      <c r="I265" s="4117"/>
      <c r="J265" s="2551"/>
      <c r="K265" s="1061"/>
      <c r="M265" s="1061"/>
    </row>
    <row r="266" spans="1:24" s="2549" customFormat="1" ht="13.5" customHeight="1">
      <c r="A266" s="5287"/>
      <c r="B266" s="2550"/>
      <c r="C266" s="5287"/>
      <c r="D266" s="2553" t="s">
        <v>6520</v>
      </c>
      <c r="E266" s="2550"/>
      <c r="F266" s="2554">
        <v>13</v>
      </c>
      <c r="G266" s="2557"/>
      <c r="H266" s="4076"/>
      <c r="I266" s="4117"/>
      <c r="J266" s="2551"/>
      <c r="K266" s="1061"/>
      <c r="M266" s="1061"/>
    </row>
    <row r="267" spans="1:24" s="2549" customFormat="1" ht="13.5" customHeight="1">
      <c r="A267" s="5287"/>
      <c r="B267" s="2550"/>
      <c r="C267" s="5287"/>
      <c r="D267" s="2553" t="s">
        <v>6521</v>
      </c>
      <c r="E267" s="2550"/>
      <c r="F267" s="2554">
        <v>13</v>
      </c>
      <c r="G267" s="2557"/>
      <c r="H267" s="4076"/>
      <c r="I267" s="4117"/>
      <c r="J267" s="2551"/>
      <c r="K267" s="1061"/>
      <c r="M267" s="1061"/>
    </row>
    <row r="268" spans="1:24" s="2549" customFormat="1" ht="13.5" customHeight="1">
      <c r="A268" s="5287"/>
      <c r="B268" s="2550"/>
      <c r="C268" s="5287"/>
      <c r="D268" s="2553" t="s">
        <v>7291</v>
      </c>
      <c r="E268" s="5281"/>
      <c r="F268" s="5286"/>
      <c r="G268" s="2557"/>
      <c r="H268" s="4076"/>
      <c r="I268" s="4117"/>
      <c r="J268" s="2551"/>
      <c r="K268" s="1061"/>
      <c r="M268" s="1061"/>
    </row>
    <row r="269" spans="1:24" s="2549" customFormat="1" ht="13.5" customHeight="1">
      <c r="A269" s="2614">
        <v>45</v>
      </c>
      <c r="B269" s="2550">
        <v>741</v>
      </c>
      <c r="C269" s="2550" t="s">
        <v>8295</v>
      </c>
      <c r="D269" s="2550" t="s">
        <v>8296</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8297</v>
      </c>
      <c r="E270" s="5281"/>
      <c r="F270" s="5289"/>
      <c r="G270" s="2557"/>
      <c r="H270" s="3997"/>
      <c r="I270" s="4053"/>
      <c r="J270" s="2551"/>
      <c r="K270" s="5273"/>
      <c r="M270" s="1061"/>
      <c r="X270" s="5341"/>
    </row>
    <row r="271" spans="1:24" s="2549" customFormat="1" ht="13.5" customHeight="1">
      <c r="A271" s="5287"/>
      <c r="B271" s="2550"/>
      <c r="C271" s="5287"/>
      <c r="D271" s="2553" t="s">
        <v>6802</v>
      </c>
      <c r="E271" s="2550"/>
      <c r="F271" s="2554">
        <v>3</v>
      </c>
      <c r="G271" s="2557"/>
      <c r="H271" s="3997"/>
      <c r="I271" s="4053"/>
      <c r="J271" s="2551"/>
      <c r="K271" s="1061"/>
      <c r="M271" s="1061"/>
    </row>
    <row r="272" spans="1:24" s="2549" customFormat="1" ht="13.5" customHeight="1">
      <c r="A272" s="5287"/>
      <c r="B272" s="2550"/>
      <c r="C272" s="5287"/>
      <c r="D272" s="2553" t="s">
        <v>8298</v>
      </c>
      <c r="E272" s="5288"/>
      <c r="F272" s="2554"/>
      <c r="G272" s="2557"/>
      <c r="H272" s="3997"/>
      <c r="I272" s="4053"/>
      <c r="J272" s="3590"/>
      <c r="K272" s="1061"/>
      <c r="M272" s="1061"/>
    </row>
    <row r="273" spans="1:98" s="1102" customFormat="1" ht="13.5" customHeight="1">
      <c r="A273" s="2614">
        <v>46</v>
      </c>
      <c r="B273" s="2550">
        <v>741</v>
      </c>
      <c r="C273" s="2550">
        <v>998741203</v>
      </c>
      <c r="D273" s="2550" t="s">
        <v>8243</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7164</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7165</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8299</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7134</v>
      </c>
      <c r="D278" s="2550" t="s">
        <v>7135</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7136</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7137</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7299</v>
      </c>
      <c r="D281" s="2550" t="s">
        <v>7300</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7136</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7137</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7301</v>
      </c>
      <c r="D284" s="2550" t="s">
        <v>8300</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7136</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7137</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7301</v>
      </c>
      <c r="D287" s="2550" t="s">
        <v>7302</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7136</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7137</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8301</v>
      </c>
      <c r="D290" s="2550" t="s">
        <v>8302</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7136</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7137</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8301</v>
      </c>
      <c r="D293" s="2550" t="s">
        <v>8303</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7136</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7137</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8304</v>
      </c>
      <c r="D296" s="2550" t="s">
        <v>8305</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7136</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7137</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8304</v>
      </c>
      <c r="D299" s="2550" t="s">
        <v>8306</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7136</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7137</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8307</v>
      </c>
      <c r="D302" s="2550" t="s">
        <v>8308</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7136</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7137</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8309</v>
      </c>
      <c r="D305" s="2550" t="s">
        <v>10635</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10634</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7137</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8310</v>
      </c>
      <c r="D308" s="2550" t="s">
        <v>10633</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10634</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7137</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8309</v>
      </c>
      <c r="D311" s="2550" t="s">
        <v>10456</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10457</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10458</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10636</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8310</v>
      </c>
      <c r="D315" s="5294" t="s">
        <v>8311</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8312</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10474</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8243</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7164</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7165</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8313</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7138</v>
      </c>
      <c r="D323" s="2550" t="s">
        <v>8314</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8315</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8316</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8317</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8318</v>
      </c>
      <c r="D327" s="2550" t="s">
        <v>8319</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8320</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6523</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8317</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8321</v>
      </c>
      <c r="D331" s="2550" t="s">
        <v>8322</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8323</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6523</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8317</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8324</v>
      </c>
      <c r="D335" s="2550" t="s">
        <v>8325</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8326</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6523</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8317</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8327</v>
      </c>
      <c r="D339" s="2550" t="s">
        <v>8328</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8329</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6523</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8317</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8327</v>
      </c>
      <c r="D343" s="2550" t="s">
        <v>8330</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8331</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6523</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8317</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8332</v>
      </c>
      <c r="D347" s="2550" t="s">
        <v>8333</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8334</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6519</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8317</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8335</v>
      </c>
      <c r="D351" s="2550" t="s">
        <v>8336</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8337</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6519</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8317</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8338</v>
      </c>
      <c r="D355" s="2550" t="s">
        <v>8339</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8340</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6520</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8317</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8341</v>
      </c>
      <c r="D359" s="2550" t="s">
        <v>8342</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8343</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6520</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8317</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8344</v>
      </c>
      <c r="D363" s="2550" t="s">
        <v>8345</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8346</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6521</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8317</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8347</v>
      </c>
      <c r="D367" s="2550" t="s">
        <v>8348</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8349</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6521</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8317</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8347</v>
      </c>
      <c r="D371" s="2550" t="s">
        <v>8350</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8351</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8352</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8353</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8243</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7164</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7165</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8354</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7142</v>
      </c>
      <c r="D380" s="2550" t="s">
        <v>7143</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7144</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8355</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7145</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7146</v>
      </c>
      <c r="D384" s="3046" t="s">
        <v>11680</v>
      </c>
      <c r="E384" s="2550" t="s">
        <v>141</v>
      </c>
      <c r="F384" s="5282">
        <f>SUM(F385)</f>
        <v>66</v>
      </c>
      <c r="G384" s="5920" t="s">
        <v>11555</v>
      </c>
      <c r="H384" s="5921"/>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7147</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7145</v>
      </c>
      <c r="E386" s="2550"/>
      <c r="F386" s="5282"/>
      <c r="G386" s="2557"/>
      <c r="H386" s="3997"/>
      <c r="I386" s="4053"/>
      <c r="J386" s="2470"/>
      <c r="K386" s="5057"/>
      <c r="L386" s="4602"/>
      <c r="M386" s="4602"/>
      <c r="N386" s="4602"/>
      <c r="O386" s="4602"/>
      <c r="P386" s="4602"/>
      <c r="Q386" s="4602"/>
    </row>
    <row r="387" spans="1:257" s="2549" customFormat="1" ht="13.5" customHeight="1">
      <c r="A387" s="5578" t="s">
        <v>8128</v>
      </c>
      <c r="B387" s="5593">
        <v>741</v>
      </c>
      <c r="C387" s="5594" t="s">
        <v>11679</v>
      </c>
      <c r="D387" s="5593" t="s">
        <v>11678</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7147</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7145</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7148</v>
      </c>
      <c r="D390" s="5294" t="s">
        <v>7149</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7150</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7145</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7151</v>
      </c>
      <c r="D393" s="5301" t="s">
        <v>7152</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10112</v>
      </c>
      <c r="E394" s="3240"/>
      <c r="F394" s="3245">
        <v>1</v>
      </c>
      <c r="G394" s="3476"/>
      <c r="H394" s="4078"/>
      <c r="I394" s="4119"/>
      <c r="J394" s="3239"/>
      <c r="K394" s="2472"/>
      <c r="T394" s="2474"/>
    </row>
    <row r="395" spans="1:257" s="2473" customFormat="1" ht="13.5" customHeight="1">
      <c r="A395" s="4361">
        <v>80</v>
      </c>
      <c r="B395" s="2469">
        <v>741</v>
      </c>
      <c r="C395" s="2469" t="s">
        <v>7153</v>
      </c>
      <c r="D395" s="5301" t="s">
        <v>7154</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7155</v>
      </c>
      <c r="E396" s="5295"/>
      <c r="F396" s="5298">
        <v>1</v>
      </c>
      <c r="G396" s="4459"/>
      <c r="H396" s="4077"/>
      <c r="I396" s="4118"/>
      <c r="J396" s="4459"/>
      <c r="K396" s="2472"/>
      <c r="L396" s="2475"/>
      <c r="M396" s="2475"/>
    </row>
    <row r="397" spans="1:257" s="2473" customFormat="1" ht="13.5" customHeight="1">
      <c r="A397" s="4361">
        <v>81</v>
      </c>
      <c r="B397" s="2469">
        <v>741</v>
      </c>
      <c r="C397" s="2469" t="s">
        <v>7156</v>
      </c>
      <c r="D397" s="5301" t="s">
        <v>7157</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8356</v>
      </c>
      <c r="D398" s="5301" t="s">
        <v>8386</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8387</v>
      </c>
      <c r="E399" s="5295"/>
      <c r="F399" s="5305">
        <v>2</v>
      </c>
      <c r="G399" s="4459"/>
      <c r="H399" s="4077"/>
      <c r="I399" s="4118"/>
      <c r="J399" s="4459"/>
      <c r="K399" s="2472"/>
      <c r="L399" s="2475"/>
      <c r="M399" s="2475"/>
    </row>
    <row r="400" spans="1:257" s="254" customFormat="1" ht="81" customHeight="1">
      <c r="A400" s="5306"/>
      <c r="B400" s="5307"/>
      <c r="C400" s="5308"/>
      <c r="D400" s="4466" t="s">
        <v>8388</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8389</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7153</v>
      </c>
      <c r="D402" s="5301" t="s">
        <v>8386</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8390</v>
      </c>
      <c r="E403" s="5295"/>
      <c r="F403" s="5305">
        <v>2</v>
      </c>
      <c r="G403" s="4459"/>
      <c r="H403" s="4077"/>
      <c r="I403" s="4118"/>
      <c r="J403" s="4459"/>
      <c r="K403" s="2472"/>
      <c r="L403" s="2475"/>
      <c r="M403" s="2475"/>
    </row>
    <row r="404" spans="1:257" s="2466" customFormat="1" ht="40.5" customHeight="1">
      <c r="A404" s="5303"/>
      <c r="B404" s="5295"/>
      <c r="C404" s="5295"/>
      <c r="D404" s="5297" t="s">
        <v>8391</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8243</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7164</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7165</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8357</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7305</v>
      </c>
      <c r="D410" s="5301" t="s">
        <v>7306</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7307</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8392</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7309</v>
      </c>
      <c r="E413" s="5295"/>
      <c r="F413" s="5298"/>
      <c r="G413" s="4459"/>
      <c r="H413" s="4077"/>
      <c r="I413" s="4118"/>
      <c r="J413" s="4459"/>
      <c r="K413" s="2472"/>
      <c r="L413" s="2475"/>
      <c r="M413" s="2475"/>
    </row>
    <row r="414" spans="1:257" s="2473" customFormat="1" ht="13.5" customHeight="1">
      <c r="A414" s="4361">
        <v>87</v>
      </c>
      <c r="B414" s="2469">
        <v>741</v>
      </c>
      <c r="C414" s="2469" t="s">
        <v>7310</v>
      </c>
      <c r="D414" s="5301" t="s">
        <v>7311</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7312</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7145</v>
      </c>
      <c r="E416" s="5295"/>
      <c r="F416" s="5298"/>
      <c r="G416" s="4459"/>
      <c r="H416" s="4077"/>
      <c r="I416" s="4118"/>
      <c r="J416" s="2470"/>
      <c r="K416" s="2472"/>
      <c r="L416" s="2475"/>
      <c r="M416" s="2475"/>
    </row>
    <row r="417" spans="1:27" s="2473" customFormat="1" ht="13.5" customHeight="1">
      <c r="A417" s="4361">
        <v>88</v>
      </c>
      <c r="B417" s="2469">
        <v>741</v>
      </c>
      <c r="C417" s="2469" t="s">
        <v>7313</v>
      </c>
      <c r="D417" s="5301" t="s">
        <v>7314</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7315</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7316</v>
      </c>
      <c r="E419" s="5295"/>
      <c r="F419" s="5298"/>
      <c r="G419" s="4459"/>
      <c r="H419" s="4077"/>
      <c r="I419" s="4118"/>
      <c r="J419" s="2470"/>
      <c r="T419" s="5356"/>
      <c r="X419" s="5356"/>
    </row>
    <row r="420" spans="1:27" s="2473" customFormat="1" ht="13.5" customHeight="1">
      <c r="A420" s="4361">
        <v>89</v>
      </c>
      <c r="B420" s="2469">
        <v>741</v>
      </c>
      <c r="C420" s="2469" t="s">
        <v>7317</v>
      </c>
      <c r="D420" s="5301" t="s">
        <v>7318</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7319</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7316</v>
      </c>
      <c r="E422" s="5295"/>
      <c r="F422" s="5298"/>
      <c r="G422" s="4459"/>
      <c r="H422" s="4077"/>
      <c r="I422" s="4118"/>
      <c r="J422" s="2470"/>
    </row>
    <row r="423" spans="1:27" s="2473" customFormat="1" ht="13.5" customHeight="1">
      <c r="A423" s="4361">
        <v>90</v>
      </c>
      <c r="B423" s="2469">
        <v>741</v>
      </c>
      <c r="C423" s="2469" t="s">
        <v>7320</v>
      </c>
      <c r="D423" s="5301" t="s">
        <v>7321</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7322</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7323</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7384</v>
      </c>
      <c r="D426" s="5301" t="s">
        <v>8358</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8359</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7323</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7324</v>
      </c>
      <c r="D429" s="5301" t="s">
        <v>7325</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7326</v>
      </c>
      <c r="E430" s="2550"/>
      <c r="F430" s="2554">
        <v>12</v>
      </c>
      <c r="G430" s="5279"/>
      <c r="H430" s="4075"/>
      <c r="I430" s="4116"/>
      <c r="J430" s="2470"/>
      <c r="K430" s="2526"/>
      <c r="T430" s="2474"/>
      <c r="X430" s="5356"/>
    </row>
    <row r="431" spans="1:27" s="2549" customFormat="1" ht="13.5" customHeight="1">
      <c r="A431" s="2614"/>
      <c r="B431" s="2550"/>
      <c r="C431" s="2469"/>
      <c r="D431" s="2553" t="s">
        <v>7327</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7328</v>
      </c>
      <c r="D432" s="5301" t="s">
        <v>7157</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8360</v>
      </c>
      <c r="D433" s="5301" t="s">
        <v>8361</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8362</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8363</v>
      </c>
      <c r="E435" s="2469"/>
      <c r="F435" s="5314"/>
      <c r="G435" s="2471"/>
      <c r="H435" s="4075"/>
      <c r="I435" s="4116"/>
      <c r="J435" s="2470"/>
      <c r="K435" s="2472"/>
    </row>
    <row r="436" spans="1:98" s="1102" customFormat="1" ht="13.5" customHeight="1">
      <c r="A436" s="2614">
        <v>95</v>
      </c>
      <c r="B436" s="2550">
        <v>741</v>
      </c>
      <c r="C436" s="2550">
        <v>998741203</v>
      </c>
      <c r="D436" s="2550" t="s">
        <v>8243</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7164</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7165</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7514</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7330</v>
      </c>
      <c r="D441" s="5301" t="s">
        <v>8364</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8365</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10459</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7331</v>
      </c>
      <c r="D444" s="5301" t="s">
        <v>8366</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8367</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10637</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8370</v>
      </c>
      <c r="D447" s="5317" t="s">
        <v>10651</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11697</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10650</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10243</v>
      </c>
      <c r="B450" s="5616">
        <v>741</v>
      </c>
      <c r="C450" s="5617" t="s">
        <v>11695</v>
      </c>
      <c r="D450" s="5618" t="s">
        <v>11692</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11698</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11693</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10244</v>
      </c>
      <c r="B453" s="5616">
        <v>741</v>
      </c>
      <c r="C453" s="5617" t="s">
        <v>11696</v>
      </c>
      <c r="D453" s="5618" t="s">
        <v>11694</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11699</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11693</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8372</v>
      </c>
      <c r="D456" s="5301" t="s">
        <v>7158</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8368</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10644</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10475</v>
      </c>
      <c r="E459" s="3240"/>
      <c r="F459" s="3253"/>
      <c r="G459" s="3238"/>
      <c r="H459" s="4080"/>
      <c r="I459" s="4098"/>
      <c r="J459" s="3239"/>
      <c r="K459" s="5357"/>
      <c r="L459" s="2563"/>
    </row>
    <row r="460" spans="1:21" s="2560" customFormat="1" ht="13.5" customHeight="1">
      <c r="A460" s="2266">
        <v>101</v>
      </c>
      <c r="B460" s="2550">
        <v>741</v>
      </c>
      <c r="C460" s="5315" t="s">
        <v>8373</v>
      </c>
      <c r="D460" s="5301" t="s">
        <v>7161</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8371</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8374</v>
      </c>
      <c r="D462" s="5321" t="s">
        <v>10403</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10404</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7522</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10639</v>
      </c>
      <c r="E466" s="5323"/>
      <c r="F466" s="5325"/>
      <c r="G466" s="5326"/>
      <c r="H466" s="3815"/>
      <c r="I466" s="3848"/>
      <c r="J466" s="224"/>
      <c r="K466" s="4596"/>
    </row>
    <row r="467" spans="1:257" s="1061" customFormat="1" ht="13.5" customHeight="1">
      <c r="A467" s="5327">
        <v>103</v>
      </c>
      <c r="B467" s="5328" t="s">
        <v>5070</v>
      </c>
      <c r="C467" s="5315" t="s">
        <v>8375</v>
      </c>
      <c r="D467" s="3046" t="s">
        <v>10405</v>
      </c>
      <c r="E467" s="3046" t="s">
        <v>23</v>
      </c>
      <c r="F467" s="3527">
        <f>ROUND(SUM(F468),3)</f>
        <v>1</v>
      </c>
      <c r="G467" s="3048"/>
      <c r="H467" s="3904"/>
      <c r="I467" s="3821">
        <f>ROUND(F467*G467,2)</f>
        <v>0</v>
      </c>
      <c r="J467" s="3049" t="s">
        <v>60</v>
      </c>
    </row>
    <row r="468" spans="1:257" s="2595" customFormat="1" ht="13.5" customHeight="1">
      <c r="A468" s="3567"/>
      <c r="B468" s="3558"/>
      <c r="C468" s="3558"/>
      <c r="D468" s="3548" t="s">
        <v>10406</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10478</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8434</v>
      </c>
      <c r="D470" s="1057" t="s">
        <v>7524</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8431</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6533</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10640</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10638</v>
      </c>
      <c r="E474" s="4355"/>
      <c r="F474" s="4357"/>
      <c r="G474" s="5248"/>
      <c r="H474" s="4066"/>
      <c r="I474" s="4114"/>
      <c r="J474" s="4455"/>
      <c r="K474" s="4600"/>
    </row>
    <row r="475" spans="1:257" s="1061" customFormat="1" ht="13.5" customHeight="1">
      <c r="A475" s="2266">
        <v>105</v>
      </c>
      <c r="B475" s="2550">
        <v>741</v>
      </c>
      <c r="C475" s="5315" t="s">
        <v>8434</v>
      </c>
      <c r="D475" s="2550" t="s">
        <v>7525</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8243</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7164</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7165</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915" t="s">
        <v>99</v>
      </c>
      <c r="B482" s="5916"/>
      <c r="C482" s="5917"/>
      <c r="D482" s="2568" t="s">
        <v>10504</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915" t="s">
        <v>99</v>
      </c>
      <c r="B483" s="5916"/>
      <c r="C483" s="5917"/>
      <c r="D483" s="2568" t="s">
        <v>10506</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814" t="s">
        <v>7526</v>
      </c>
      <c r="B487" s="5814"/>
      <c r="C487" s="5814"/>
      <c r="D487" s="5814"/>
      <c r="E487" s="5814"/>
      <c r="F487" s="5814"/>
      <c r="G487" s="5814"/>
      <c r="H487" s="48"/>
      <c r="I487" s="48"/>
      <c r="J487" s="1406"/>
    </row>
    <row r="488" spans="1:75" s="1061" customFormat="1" ht="107.25" customHeight="1">
      <c r="A488" s="5814" t="s">
        <v>26</v>
      </c>
      <c r="B488" s="5814"/>
      <c r="C488" s="5814"/>
      <c r="D488" s="5814"/>
      <c r="E488" s="5814"/>
      <c r="F488" s="5814"/>
      <c r="G488" s="5814"/>
      <c r="H488" s="48"/>
      <c r="I488" s="48"/>
      <c r="J488" s="48"/>
    </row>
    <row r="489" spans="1:75" s="1061" customFormat="1" ht="13.5" customHeight="1">
      <c r="A489" s="5814" t="s">
        <v>27</v>
      </c>
      <c r="B489" s="5814"/>
      <c r="C489" s="5814"/>
      <c r="D489" s="5814"/>
      <c r="E489" s="5814"/>
      <c r="F489" s="5814"/>
      <c r="G489" s="5814"/>
      <c r="H489" s="318"/>
      <c r="I489" s="318"/>
      <c r="J489" s="318"/>
    </row>
    <row r="490" spans="1:75" s="1061" customFormat="1" ht="13.5" customHeight="1">
      <c r="A490" s="5814" t="s">
        <v>28</v>
      </c>
      <c r="B490" s="5814"/>
      <c r="C490" s="5814"/>
      <c r="D490" s="5814"/>
      <c r="E490" s="5814"/>
      <c r="F490" s="5814"/>
      <c r="G490" s="5814"/>
      <c r="H490" s="318"/>
      <c r="I490" s="318"/>
      <c r="J490" s="318"/>
    </row>
    <row r="491" spans="1:75" s="52" customFormat="1" ht="40.5" customHeight="1">
      <c r="A491" s="5816" t="s">
        <v>61</v>
      </c>
      <c r="B491" s="5816"/>
      <c r="C491" s="5816"/>
      <c r="D491" s="5816"/>
      <c r="E491" s="5816"/>
      <c r="F491" s="5816"/>
      <c r="G491" s="5816"/>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913" t="s">
        <v>112</v>
      </c>
      <c r="B2" s="5913"/>
      <c r="C2" s="5913"/>
      <c r="D2" s="5913"/>
      <c r="E2" s="5913"/>
      <c r="F2" s="5913"/>
      <c r="G2" s="5913"/>
      <c r="H2" s="5913"/>
      <c r="I2" s="5913"/>
    </row>
    <row r="3" spans="1:97" s="2659" customFormat="1" ht="13.5" customHeight="1">
      <c r="A3" s="2660" t="s">
        <v>8393</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10491</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8394</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7128</v>
      </c>
      <c r="D9" s="1057" t="s">
        <v>8395</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8396</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8397</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10700</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7133</v>
      </c>
      <c r="D13" s="3046" t="s">
        <v>8398</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8399</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8400</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8401</v>
      </c>
      <c r="E16" s="3046"/>
      <c r="F16" s="3047"/>
      <c r="G16" s="3048"/>
      <c r="H16" s="3897"/>
      <c r="I16" s="3049"/>
      <c r="K16" s="4602"/>
      <c r="L16" s="4602"/>
      <c r="M16" s="4602"/>
      <c r="N16" s="4602"/>
      <c r="O16" s="4602"/>
      <c r="P16" s="4602"/>
    </row>
    <row r="17" spans="1:97" s="1102" customFormat="1" ht="27" customHeight="1">
      <c r="A17" s="5365"/>
      <c r="B17" s="3046"/>
      <c r="C17" s="3046"/>
      <c r="D17" s="3044" t="s">
        <v>8402</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7288</v>
      </c>
      <c r="D18" s="3046" t="s">
        <v>8403</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8404</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8405</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8406</v>
      </c>
      <c r="E21" s="3046"/>
      <c r="F21" s="3047"/>
      <c r="G21" s="3048"/>
      <c r="H21" s="3897"/>
      <c r="I21" s="3563"/>
      <c r="K21" s="4602"/>
      <c r="L21" s="4602"/>
      <c r="M21" s="4602"/>
      <c r="N21" s="4602"/>
      <c r="O21" s="4602"/>
      <c r="P21" s="4602"/>
    </row>
    <row r="22" spans="1:97" s="2549" customFormat="1" ht="13.5" customHeight="1">
      <c r="A22" s="5365"/>
      <c r="B22" s="3046"/>
      <c r="C22" s="3046"/>
      <c r="D22" s="3044" t="s">
        <v>10561</v>
      </c>
      <c r="E22" s="3046"/>
      <c r="F22" s="3047"/>
      <c r="G22" s="3048"/>
      <c r="H22" s="3897"/>
      <c r="I22" s="3563"/>
      <c r="K22" s="4602"/>
      <c r="L22" s="4602"/>
      <c r="M22" s="4602"/>
      <c r="N22" s="4602"/>
      <c r="O22" s="4602"/>
      <c r="P22" s="4602"/>
    </row>
    <row r="23" spans="1:97" s="1061" customFormat="1" ht="13.5" customHeight="1">
      <c r="A23" s="5327">
        <v>4</v>
      </c>
      <c r="B23" s="5366">
        <v>741</v>
      </c>
      <c r="C23" s="3046" t="s">
        <v>8247</v>
      </c>
      <c r="D23" s="3046" t="s">
        <v>8407</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8408</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8405</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8406</v>
      </c>
      <c r="E26" s="3046"/>
      <c r="F26" s="3047"/>
      <c r="G26" s="3048"/>
      <c r="H26" s="3897"/>
      <c r="I26" s="3563"/>
      <c r="K26" s="4602"/>
      <c r="L26" s="4602"/>
      <c r="M26" s="4602"/>
      <c r="N26" s="4602"/>
      <c r="O26" s="4602"/>
      <c r="P26" s="4602"/>
    </row>
    <row r="27" spans="1:97" s="2549" customFormat="1" ht="13.5" customHeight="1">
      <c r="A27" s="5365"/>
      <c r="B27" s="3046"/>
      <c r="C27" s="3046"/>
      <c r="D27" s="3044" t="s">
        <v>10561</v>
      </c>
      <c r="E27" s="3046"/>
      <c r="F27" s="3047"/>
      <c r="G27" s="3048"/>
      <c r="H27" s="3897"/>
      <c r="I27" s="3563"/>
      <c r="K27" s="4602"/>
      <c r="L27" s="4602"/>
      <c r="M27" s="4602"/>
      <c r="N27" s="4602"/>
      <c r="O27" s="4602"/>
      <c r="P27" s="4602"/>
    </row>
    <row r="28" spans="1:97" s="1061" customFormat="1" ht="13.5" customHeight="1">
      <c r="A28" s="5327">
        <v>5</v>
      </c>
      <c r="B28" s="5366">
        <v>741</v>
      </c>
      <c r="C28" s="3046" t="s">
        <v>7292</v>
      </c>
      <c r="D28" s="3046" t="s">
        <v>8409</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8410</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8411</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8401</v>
      </c>
      <c r="E31" s="3046"/>
      <c r="F31" s="3047"/>
      <c r="G31" s="3048"/>
      <c r="H31" s="3897"/>
      <c r="I31" s="3049"/>
      <c r="K31" s="4602"/>
      <c r="L31" s="4602"/>
      <c r="M31" s="4602"/>
      <c r="N31" s="4602"/>
      <c r="O31" s="4602"/>
      <c r="P31" s="4602"/>
    </row>
    <row r="32" spans="1:97" s="1061" customFormat="1" ht="13.5" customHeight="1">
      <c r="A32" s="5327">
        <v>6</v>
      </c>
      <c r="B32" s="5366">
        <v>741</v>
      </c>
      <c r="C32" s="3046" t="s">
        <v>7296</v>
      </c>
      <c r="D32" s="3046" t="s">
        <v>8409</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8412</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8413</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8401</v>
      </c>
      <c r="E35" s="3046"/>
      <c r="F35" s="3047"/>
      <c r="G35" s="3048"/>
      <c r="H35" s="3897"/>
      <c r="I35" s="3049"/>
      <c r="K35" s="4602"/>
      <c r="L35" s="4602"/>
      <c r="M35" s="4602"/>
      <c r="N35" s="4602"/>
      <c r="O35" s="4602"/>
      <c r="P35" s="4602"/>
    </row>
    <row r="36" spans="1:97" s="2549" customFormat="1" ht="13.5" customHeight="1">
      <c r="A36" s="5327">
        <v>7</v>
      </c>
      <c r="B36" s="3046">
        <v>741</v>
      </c>
      <c r="C36" s="3046" t="s">
        <v>7134</v>
      </c>
      <c r="D36" s="3046" t="s">
        <v>8414</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8415</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6523</v>
      </c>
      <c r="E38" s="3046"/>
      <c r="F38" s="3611">
        <v>1</v>
      </c>
      <c r="G38" s="3048"/>
      <c r="H38" s="3897"/>
      <c r="I38" s="3049"/>
      <c r="K38" s="4602"/>
      <c r="L38" s="4602"/>
      <c r="M38" s="4602"/>
      <c r="N38" s="4602"/>
      <c r="O38" s="4602"/>
      <c r="P38" s="4602"/>
    </row>
    <row r="39" spans="1:97" s="2549" customFormat="1" ht="27" customHeight="1">
      <c r="A39" s="5365"/>
      <c r="B39" s="3046"/>
      <c r="C39" s="3046"/>
      <c r="D39" s="5370" t="s">
        <v>8317</v>
      </c>
      <c r="E39" s="3046"/>
      <c r="F39" s="3047"/>
      <c r="G39" s="3048"/>
      <c r="H39" s="3897"/>
      <c r="I39" s="3049"/>
      <c r="K39" s="4602"/>
      <c r="L39" s="4602"/>
      <c r="M39" s="4602"/>
      <c r="N39" s="4602"/>
      <c r="O39" s="4602"/>
      <c r="P39" s="4602"/>
    </row>
    <row r="40" spans="1:97" s="2549" customFormat="1" ht="13.5" customHeight="1">
      <c r="A40" s="5327">
        <v>8</v>
      </c>
      <c r="B40" s="3046">
        <v>741</v>
      </c>
      <c r="C40" s="3046" t="s">
        <v>7299</v>
      </c>
      <c r="D40" s="3046" t="s">
        <v>8416</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8417</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7477</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8317</v>
      </c>
      <c r="E43" s="3046"/>
      <c r="F43" s="3047"/>
      <c r="G43" s="3048"/>
      <c r="H43" s="3897"/>
      <c r="I43" s="3049"/>
      <c r="K43" s="4602"/>
      <c r="L43" s="4602"/>
      <c r="M43" s="4602"/>
      <c r="N43" s="4602"/>
      <c r="O43" s="4602"/>
      <c r="P43" s="4602"/>
    </row>
    <row r="44" spans="1:97" s="2549" customFormat="1" ht="27" customHeight="1">
      <c r="A44" s="5365"/>
      <c r="B44" s="3046"/>
      <c r="C44" s="3046"/>
      <c r="D44" s="5370" t="s">
        <v>8418</v>
      </c>
      <c r="E44" s="3046"/>
      <c r="F44" s="3047"/>
      <c r="G44" s="3048"/>
      <c r="H44" s="3897"/>
      <c r="I44" s="3049"/>
      <c r="K44" s="4602"/>
      <c r="L44" s="4602"/>
      <c r="M44" s="4602"/>
      <c r="N44" s="4602"/>
      <c r="O44" s="4602"/>
      <c r="P44" s="4602"/>
    </row>
    <row r="45" spans="1:97" s="1061" customFormat="1" ht="13.5" customHeight="1">
      <c r="A45" s="5327">
        <v>9</v>
      </c>
      <c r="B45" s="5366">
        <v>741</v>
      </c>
      <c r="C45" s="3046" t="s">
        <v>7301</v>
      </c>
      <c r="D45" s="3046" t="s">
        <v>8419</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8420</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8421</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8401</v>
      </c>
      <c r="E48" s="3046"/>
      <c r="F48" s="3047"/>
      <c r="G48" s="3048"/>
      <c r="H48" s="3897"/>
      <c r="I48" s="3563"/>
      <c r="K48" s="4602"/>
      <c r="L48" s="4602"/>
      <c r="M48" s="4602"/>
      <c r="N48" s="4602"/>
      <c r="O48" s="4602"/>
      <c r="P48" s="4602"/>
    </row>
    <row r="49" spans="1:108" s="2549" customFormat="1" ht="13.5" customHeight="1">
      <c r="A49" s="5327">
        <v>10</v>
      </c>
      <c r="B49" s="3046">
        <v>741</v>
      </c>
      <c r="C49" s="3046" t="s">
        <v>7138</v>
      </c>
      <c r="D49" s="3046" t="s">
        <v>8422</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10632</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7137</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8318</v>
      </c>
      <c r="D52" s="3046" t="s">
        <v>8423</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8424</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10702</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8425</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8243</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7164</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7165</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8426</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7330</v>
      </c>
      <c r="D61" s="3243" t="s">
        <v>7158</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8427</v>
      </c>
      <c r="E62" s="3240"/>
      <c r="F62" s="5377">
        <v>1</v>
      </c>
      <c r="G62" s="3238"/>
      <c r="H62" s="4080"/>
      <c r="I62" s="3239"/>
      <c r="P62" s="2474"/>
      <c r="Q62" s="2474"/>
      <c r="R62" s="2474"/>
      <c r="S62" s="2474"/>
      <c r="T62" s="2474"/>
    </row>
    <row r="63" spans="1:108" s="333" customFormat="1" ht="40.5" customHeight="1">
      <c r="A63" s="5378"/>
      <c r="B63" s="5379"/>
      <c r="C63" s="5380"/>
      <c r="D63" s="5381" t="s">
        <v>10698</v>
      </c>
      <c r="E63" s="3240"/>
      <c r="F63" s="5382"/>
      <c r="G63" s="5383"/>
      <c r="H63" s="4563"/>
      <c r="I63" s="4564"/>
      <c r="J63" s="469"/>
      <c r="K63" s="470"/>
      <c r="L63" s="471"/>
      <c r="M63" s="699"/>
    </row>
    <row r="64" spans="1:108" s="2560" customFormat="1" ht="108" customHeight="1">
      <c r="A64" s="3242"/>
      <c r="B64" s="3240"/>
      <c r="C64" s="3240"/>
      <c r="D64" s="3252" t="s">
        <v>10703</v>
      </c>
      <c r="E64" s="3240"/>
      <c r="F64" s="3253"/>
      <c r="G64" s="3238"/>
      <c r="H64" s="4080"/>
      <c r="I64" s="4564"/>
      <c r="J64" s="5405"/>
      <c r="K64" s="5405"/>
      <c r="L64" s="2563"/>
    </row>
    <row r="65" spans="1:121" s="2560" customFormat="1" ht="27" customHeight="1">
      <c r="A65" s="3242"/>
      <c r="B65" s="3240"/>
      <c r="C65" s="3240"/>
      <c r="D65" s="3252" t="s">
        <v>10701</v>
      </c>
      <c r="E65" s="3240"/>
      <c r="F65" s="3253"/>
      <c r="G65" s="3238"/>
      <c r="H65" s="4080"/>
      <c r="I65" s="4564"/>
      <c r="J65" s="5405"/>
      <c r="K65" s="5405"/>
      <c r="L65" s="2563"/>
    </row>
    <row r="66" spans="1:121" s="2560" customFormat="1" ht="13.5" customHeight="1">
      <c r="A66" s="5365">
        <v>15</v>
      </c>
      <c r="B66" s="3046">
        <v>741</v>
      </c>
      <c r="C66" s="3608" t="s">
        <v>7331</v>
      </c>
      <c r="D66" s="3243" t="s">
        <v>7161</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8428</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8429</v>
      </c>
      <c r="E68" s="3240"/>
      <c r="F68" s="5384"/>
      <c r="G68" s="3238"/>
      <c r="H68" s="4080"/>
      <c r="I68" s="3239"/>
      <c r="J68" s="5336"/>
      <c r="P68" s="2474"/>
      <c r="Q68" s="2474"/>
      <c r="R68" s="2474"/>
      <c r="S68" s="2474"/>
      <c r="T68" s="2474"/>
    </row>
    <row r="69" spans="1:121" s="2560" customFormat="1" ht="27" customHeight="1">
      <c r="A69" s="5365">
        <v>16</v>
      </c>
      <c r="B69" s="3046">
        <v>741</v>
      </c>
      <c r="C69" s="3608" t="s">
        <v>8370</v>
      </c>
      <c r="D69" s="5385" t="s">
        <v>7520</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8430</v>
      </c>
      <c r="E70" s="3240"/>
      <c r="F70" s="5377">
        <v>1</v>
      </c>
      <c r="G70" s="3238"/>
      <c r="H70" s="4080"/>
      <c r="I70" s="3563"/>
      <c r="J70" s="5336"/>
      <c r="P70" s="2474"/>
      <c r="Q70" s="2474"/>
      <c r="R70" s="2474"/>
      <c r="S70" s="2474"/>
      <c r="T70" s="2474"/>
    </row>
    <row r="71" spans="1:121" s="2560" customFormat="1" ht="27" customHeight="1">
      <c r="A71" s="3242"/>
      <c r="B71" s="3240"/>
      <c r="C71" s="3240"/>
      <c r="D71" s="5376" t="s">
        <v>7522</v>
      </c>
      <c r="E71" s="3240"/>
      <c r="F71" s="5384"/>
      <c r="G71" s="3238"/>
      <c r="H71" s="4080"/>
      <c r="I71" s="3239"/>
      <c r="J71" s="5336"/>
    </row>
    <row r="72" spans="1:121" s="2303" customFormat="1" ht="81" customHeight="1">
      <c r="A72" s="5386"/>
      <c r="B72" s="5387"/>
      <c r="C72" s="5387"/>
      <c r="D72" s="5388" t="s">
        <v>10699</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8372</v>
      </c>
      <c r="D74" s="3046" t="s">
        <v>6531</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8431</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6533</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10704</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10705</v>
      </c>
      <c r="E78" s="5393"/>
      <c r="F78" s="5395"/>
      <c r="G78" s="4446"/>
      <c r="H78" s="4320"/>
      <c r="I78" s="4565"/>
      <c r="J78" s="5336"/>
      <c r="K78" s="4600"/>
    </row>
    <row r="79" spans="1:121" s="1061" customFormat="1" ht="13.5" customHeight="1">
      <c r="A79" s="5365">
        <v>18</v>
      </c>
      <c r="B79" s="3046">
        <v>741</v>
      </c>
      <c r="C79" s="3608" t="s">
        <v>8373</v>
      </c>
      <c r="D79" s="3046" t="s">
        <v>7525</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8374</v>
      </c>
      <c r="D80" s="3046" t="s">
        <v>6535</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6536</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6537</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8375</v>
      </c>
      <c r="D83" s="3036" t="s">
        <v>8432</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8433</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8434</v>
      </c>
      <c r="D85" s="3046" t="s">
        <v>10410</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10411</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10412</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10409</v>
      </c>
      <c r="D88" s="3610" t="s">
        <v>8376</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8435</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8436</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8243</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7164</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915" t="s">
        <v>99</v>
      </c>
      <c r="B96" s="5916"/>
      <c r="C96" s="5917"/>
      <c r="D96" s="2568" t="s">
        <v>10510</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814" t="s">
        <v>7526</v>
      </c>
      <c r="B99" s="5814"/>
      <c r="C99" s="5814"/>
      <c r="D99" s="5814"/>
      <c r="E99" s="5814"/>
      <c r="F99" s="5814"/>
      <c r="G99" s="5814"/>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814" t="s">
        <v>26</v>
      </c>
      <c r="B100" s="5814"/>
      <c r="C100" s="5814"/>
      <c r="D100" s="5814"/>
      <c r="E100" s="5814"/>
      <c r="F100" s="5814"/>
      <c r="G100" s="5814"/>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814" t="s">
        <v>27</v>
      </c>
      <c r="B101" s="5814"/>
      <c r="C101" s="5814"/>
      <c r="D101" s="5814"/>
      <c r="E101" s="5814"/>
      <c r="F101" s="5814"/>
      <c r="G101" s="5814"/>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814" t="s">
        <v>28</v>
      </c>
      <c r="B102" s="5814"/>
      <c r="C102" s="5814"/>
      <c r="D102" s="5814"/>
      <c r="E102" s="5814"/>
      <c r="F102" s="5814"/>
      <c r="G102" s="5814"/>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816" t="s">
        <v>61</v>
      </c>
      <c r="B103" s="5816"/>
      <c r="C103" s="5816"/>
      <c r="D103" s="5816"/>
      <c r="E103" s="5816"/>
      <c r="F103" s="5816"/>
      <c r="G103" s="5816"/>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7385</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10491</v>
      </c>
      <c r="D5" s="3786" t="s">
        <v>10492</v>
      </c>
    </row>
    <row r="6" spans="1:10" ht="12.6" customHeight="1">
      <c r="A6" s="3063">
        <v>1</v>
      </c>
      <c r="B6" s="3064">
        <v>2</v>
      </c>
      <c r="C6" s="4351" t="s">
        <v>10630</v>
      </c>
      <c r="D6" s="4183" t="s">
        <v>10631</v>
      </c>
    </row>
    <row r="7" spans="1:10" ht="21" customHeight="1">
      <c r="A7" s="651"/>
      <c r="B7" s="652"/>
      <c r="C7" s="4124"/>
      <c r="D7" s="4126"/>
    </row>
    <row r="8" spans="1:10" ht="13.5" customHeight="1">
      <c r="A8" s="3065">
        <v>1</v>
      </c>
      <c r="B8" s="3066" t="s">
        <v>7386</v>
      </c>
      <c r="C8" s="4352">
        <f>'D.1.4.8. EL. KOMUNIKACE'!H308</f>
        <v>0</v>
      </c>
      <c r="D8" s="4184">
        <f>'D.1.4.8. EL. KOMUNIKACE'!I309</f>
        <v>0</v>
      </c>
    </row>
    <row r="9" spans="1:10" ht="13.5" customHeight="1">
      <c r="A9" s="3065">
        <v>2</v>
      </c>
      <c r="B9" s="3066" t="s">
        <v>7387</v>
      </c>
      <c r="C9" s="4352">
        <f>'D.1.4.8. EL. KOMUNIKACE-MEDICAL'!H253</f>
        <v>0</v>
      </c>
      <c r="D9" s="4184"/>
    </row>
    <row r="10" spans="1:10" ht="21" customHeight="1">
      <c r="A10" s="3067"/>
      <c r="B10" s="3068" t="s">
        <v>7388</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913" t="s">
        <v>112</v>
      </c>
      <c r="B2" s="5913"/>
      <c r="C2" s="5913"/>
      <c r="D2" s="5913"/>
      <c r="E2" s="5913"/>
      <c r="F2" s="5913"/>
      <c r="G2" s="5913"/>
      <c r="H2" s="5913"/>
      <c r="I2" s="5913"/>
      <c r="J2" s="5913"/>
      <c r="K2" s="4722"/>
    </row>
    <row r="3" spans="1:21" s="52" customFormat="1" ht="13.5" customHeight="1">
      <c r="A3" s="5922" t="s">
        <v>7385</v>
      </c>
      <c r="B3" s="5922"/>
      <c r="C3" s="5922"/>
      <c r="D3" s="5922"/>
      <c r="E3" s="5922"/>
      <c r="F3" s="5922"/>
      <c r="G3" s="5922"/>
      <c r="H3" s="5922"/>
      <c r="I3" s="5922"/>
      <c r="J3" s="5922"/>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10491</v>
      </c>
      <c r="I6" s="3786" t="s">
        <v>10492</v>
      </c>
      <c r="J6" s="2536" t="s">
        <v>22</v>
      </c>
      <c r="K6" s="1562"/>
      <c r="M6" s="2540"/>
    </row>
    <row r="7" spans="1:21" ht="12.75" customHeight="1">
      <c r="A7" s="2536" t="s">
        <v>133</v>
      </c>
      <c r="B7" s="2537" t="s">
        <v>134</v>
      </c>
      <c r="C7" s="2536" t="s">
        <v>854</v>
      </c>
      <c r="D7" s="2536" t="s">
        <v>856</v>
      </c>
      <c r="E7" s="2536" t="s">
        <v>858</v>
      </c>
      <c r="F7" s="2538" t="s">
        <v>860</v>
      </c>
      <c r="G7" s="2539" t="s">
        <v>2097</v>
      </c>
      <c r="H7" s="3785" t="s">
        <v>10489</v>
      </c>
      <c r="I7" s="3786" t="s">
        <v>10490</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7389</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4985</v>
      </c>
      <c r="C10" s="3536" t="s">
        <v>7390</v>
      </c>
      <c r="D10" s="5413" t="s">
        <v>7391</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11558</v>
      </c>
      <c r="E11" s="3051"/>
      <c r="F11" s="3047"/>
      <c r="G11" s="3542"/>
      <c r="H11" s="3916"/>
      <c r="I11" s="3937"/>
      <c r="J11" s="3563"/>
      <c r="K11" s="1091"/>
      <c r="S11" s="5034"/>
    </row>
    <row r="12" spans="1:21" s="1061" customFormat="1" ht="13.5" customHeight="1">
      <c r="A12" s="3237"/>
      <c r="B12" s="3636"/>
      <c r="C12" s="3521"/>
      <c r="D12" s="5414" t="s">
        <v>6521</v>
      </c>
      <c r="E12" s="3051"/>
      <c r="F12" s="3047">
        <v>1</v>
      </c>
      <c r="G12" s="3542"/>
      <c r="H12" s="3916"/>
      <c r="I12" s="3937"/>
      <c r="J12" s="3563"/>
      <c r="K12" s="1091"/>
    </row>
    <row r="13" spans="1:21" s="1061" customFormat="1" ht="27" customHeight="1">
      <c r="A13" s="3237"/>
      <c r="B13" s="3636"/>
      <c r="C13" s="3521"/>
      <c r="D13" s="5414" t="s">
        <v>11677</v>
      </c>
      <c r="E13" s="3051"/>
      <c r="F13" s="3047"/>
      <c r="G13" s="3542"/>
      <c r="H13" s="3916"/>
      <c r="I13" s="3937"/>
      <c r="J13" s="3563"/>
      <c r="K13" s="1091"/>
    </row>
    <row r="14" spans="1:21" s="1061" customFormat="1" ht="13.5" customHeight="1">
      <c r="A14" s="5412">
        <v>2</v>
      </c>
      <c r="B14" s="3536" t="s">
        <v>4985</v>
      </c>
      <c r="C14" s="3536" t="s">
        <v>7392</v>
      </c>
      <c r="D14" s="5413" t="s">
        <v>7393</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7394</v>
      </c>
      <c r="E15" s="3051"/>
      <c r="F15" s="3047"/>
      <c r="G15" s="3542"/>
      <c r="H15" s="3916"/>
      <c r="I15" s="3937"/>
      <c r="J15" s="3563"/>
      <c r="K15" s="2555"/>
      <c r="S15" s="5034"/>
    </row>
    <row r="16" spans="1:21" s="1061" customFormat="1" ht="13.5" customHeight="1">
      <c r="A16" s="3237"/>
      <c r="B16" s="3636"/>
      <c r="C16" s="3521"/>
      <c r="D16" s="5414" t="s">
        <v>6523</v>
      </c>
      <c r="E16" s="3051"/>
      <c r="F16" s="3047">
        <f>21-10</f>
        <v>11</v>
      </c>
      <c r="G16" s="3542"/>
      <c r="H16" s="3916"/>
      <c r="I16" s="3937"/>
      <c r="J16" s="3563"/>
      <c r="K16" s="5482"/>
      <c r="S16" s="5034"/>
      <c r="T16" s="1478"/>
    </row>
    <row r="17" spans="1:21" s="1061" customFormat="1" ht="13.5" customHeight="1">
      <c r="A17" s="3237"/>
      <c r="B17" s="3636"/>
      <c r="C17" s="3521"/>
      <c r="D17" s="5414" t="s">
        <v>6519</v>
      </c>
      <c r="E17" s="3051"/>
      <c r="F17" s="3047">
        <v>32</v>
      </c>
      <c r="G17" s="3542"/>
      <c r="H17" s="3916"/>
      <c r="I17" s="3937"/>
      <c r="J17" s="3563"/>
      <c r="K17" s="5482"/>
    </row>
    <row r="18" spans="1:21" s="1061" customFormat="1" ht="13.5" customHeight="1">
      <c r="A18" s="3237"/>
      <c r="B18" s="3636"/>
      <c r="C18" s="3521"/>
      <c r="D18" s="5414" t="s">
        <v>6520</v>
      </c>
      <c r="E18" s="3051"/>
      <c r="F18" s="3047">
        <v>33</v>
      </c>
      <c r="G18" s="3542"/>
      <c r="H18" s="3916"/>
      <c r="I18" s="3937"/>
      <c r="J18" s="3563"/>
      <c r="K18" s="5482"/>
      <c r="T18" s="5037"/>
    </row>
    <row r="19" spans="1:21" s="1061" customFormat="1" ht="13.5" customHeight="1">
      <c r="A19" s="3237"/>
      <c r="B19" s="3636"/>
      <c r="C19" s="3521"/>
      <c r="D19" s="5414" t="s">
        <v>6521</v>
      </c>
      <c r="E19" s="3051"/>
      <c r="F19" s="3047">
        <v>33</v>
      </c>
      <c r="G19" s="3542"/>
      <c r="H19" s="3916"/>
      <c r="I19" s="3937"/>
      <c r="J19" s="3563"/>
      <c r="K19" s="5482"/>
    </row>
    <row r="20" spans="1:21" s="1061" customFormat="1" ht="27" customHeight="1">
      <c r="A20" s="3237"/>
      <c r="B20" s="3636"/>
      <c r="C20" s="3521"/>
      <c r="D20" s="5414" t="s">
        <v>7395</v>
      </c>
      <c r="E20" s="3051"/>
      <c r="F20" s="3047"/>
      <c r="G20" s="3542"/>
      <c r="H20" s="3916"/>
      <c r="I20" s="3937"/>
      <c r="J20" s="3563"/>
      <c r="K20"/>
    </row>
    <row r="21" spans="1:21" s="1061" customFormat="1" ht="13.5" customHeight="1">
      <c r="A21" s="5412">
        <v>3</v>
      </c>
      <c r="B21" s="3536" t="s">
        <v>4985</v>
      </c>
      <c r="C21" s="3536" t="s">
        <v>7396</v>
      </c>
      <c r="D21" s="5413" t="s">
        <v>7397</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7398</v>
      </c>
      <c r="E22" s="3051"/>
      <c r="F22" s="3047"/>
      <c r="G22" s="3542"/>
      <c r="H22" s="3916"/>
      <c r="I22" s="3937"/>
      <c r="J22" s="3563"/>
      <c r="K22" s="2555"/>
      <c r="S22" s="5034"/>
    </row>
    <row r="23" spans="1:21" s="1061" customFormat="1" ht="13.5" customHeight="1">
      <c r="A23" s="3237"/>
      <c r="B23" s="3636"/>
      <c r="C23" s="3521"/>
      <c r="D23" s="5414" t="s">
        <v>6519</v>
      </c>
      <c r="E23" s="3051"/>
      <c r="F23" s="3047">
        <v>5</v>
      </c>
      <c r="G23" s="3542"/>
      <c r="H23" s="3916"/>
      <c r="I23" s="3937"/>
      <c r="J23" s="3563"/>
      <c r="K23" s="5482"/>
      <c r="S23" s="5034"/>
      <c r="T23" s="1478"/>
    </row>
    <row r="24" spans="1:21" s="1061" customFormat="1" ht="13.5" customHeight="1">
      <c r="A24" s="3237"/>
      <c r="B24" s="3636"/>
      <c r="C24" s="3521"/>
      <c r="D24" s="5414" t="s">
        <v>6520</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6521</v>
      </c>
      <c r="E25" s="3051"/>
      <c r="F25" s="3047">
        <v>6</v>
      </c>
      <c r="G25" s="3542"/>
      <c r="H25" s="3916"/>
      <c r="I25" s="3937"/>
      <c r="J25" s="3563"/>
      <c r="K25" s="5482"/>
    </row>
    <row r="26" spans="1:21" s="1061" customFormat="1" ht="27" customHeight="1">
      <c r="A26" s="3237"/>
      <c r="B26" s="3636"/>
      <c r="C26" s="3521"/>
      <c r="D26" s="5414" t="s">
        <v>7395</v>
      </c>
      <c r="E26" s="3051"/>
      <c r="F26" s="3047"/>
      <c r="G26" s="3542"/>
      <c r="H26" s="3916"/>
      <c r="I26" s="3937"/>
      <c r="J26" s="3563"/>
      <c r="K26"/>
    </row>
    <row r="27" spans="1:21" s="2549" customFormat="1" ht="13.5" customHeight="1">
      <c r="A27" s="3525">
        <v>4</v>
      </c>
      <c r="B27" s="3536" t="s">
        <v>4985</v>
      </c>
      <c r="C27" s="3536" t="s">
        <v>7399</v>
      </c>
      <c r="D27" s="5413" t="s">
        <v>7400</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7401</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6802</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6520</v>
      </c>
      <c r="E30" s="3046"/>
      <c r="F30" s="5416">
        <v>16</v>
      </c>
      <c r="G30" s="3052"/>
      <c r="H30" s="4082"/>
      <c r="I30" s="4096"/>
      <c r="J30" s="3049"/>
      <c r="K30" s="5483"/>
    </row>
    <row r="31" spans="1:21" s="2549" customFormat="1" ht="13.5" customHeight="1">
      <c r="A31" s="5415"/>
      <c r="B31" s="3536"/>
      <c r="C31" s="3536"/>
      <c r="D31" s="5414" t="s">
        <v>6521</v>
      </c>
      <c r="E31" s="3046"/>
      <c r="F31" s="5416">
        <v>16</v>
      </c>
      <c r="G31" s="3052"/>
      <c r="H31" s="4082"/>
      <c r="I31" s="4096"/>
      <c r="J31" s="3049"/>
    </row>
    <row r="32" spans="1:21" s="1061" customFormat="1" ht="27" customHeight="1">
      <c r="A32" s="3237"/>
      <c r="B32" s="3636"/>
      <c r="C32" s="3521"/>
      <c r="D32" s="5414" t="s">
        <v>7402</v>
      </c>
      <c r="E32" s="3051"/>
      <c r="F32" s="3047"/>
      <c r="G32" s="3542"/>
      <c r="H32" s="3916"/>
      <c r="I32" s="3937"/>
      <c r="J32" s="3563"/>
      <c r="K32"/>
    </row>
    <row r="33" spans="1:21" s="52" customFormat="1" ht="13.5" customHeight="1">
      <c r="A33" s="3525">
        <v>5</v>
      </c>
      <c r="B33" s="4363">
        <v>742</v>
      </c>
      <c r="C33" s="3536" t="s">
        <v>10544</v>
      </c>
      <c r="D33" s="5413" t="s">
        <v>7404</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7405</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10415</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10545</v>
      </c>
      <c r="D36" s="5413" t="s">
        <v>7407</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7405</v>
      </c>
      <c r="E37" s="3610"/>
      <c r="F37" s="3047">
        <v>1000</v>
      </c>
      <c r="G37" s="3048"/>
      <c r="H37" s="3897"/>
      <c r="I37" s="4097"/>
      <c r="J37" s="3049"/>
      <c r="K37" s="3663"/>
      <c r="L37" s="5484"/>
      <c r="M37" s="1061"/>
      <c r="S37" s="5034"/>
    </row>
    <row r="38" spans="1:21" s="2549" customFormat="1" ht="27.75" customHeight="1">
      <c r="A38" s="3237"/>
      <c r="B38" s="3636"/>
      <c r="C38" s="3521"/>
      <c r="D38" s="5414" t="s">
        <v>10416</v>
      </c>
      <c r="E38" s="3610"/>
      <c r="F38" s="3047"/>
      <c r="G38" s="3048"/>
      <c r="H38" s="3897"/>
      <c r="I38" s="4097"/>
      <c r="J38" s="3049"/>
      <c r="K38" s="1061"/>
      <c r="M38" s="1061"/>
    </row>
    <row r="39" spans="1:21" s="2560" customFormat="1" ht="13.5" customHeight="1">
      <c r="A39" s="3525">
        <v>7</v>
      </c>
      <c r="B39" s="4363">
        <v>742</v>
      </c>
      <c r="C39" s="3536" t="s">
        <v>7403</v>
      </c>
      <c r="D39" s="5421" t="s">
        <v>7158</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7516</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10644</v>
      </c>
      <c r="E41" s="3240"/>
      <c r="F41" s="5314"/>
      <c r="G41" s="3238"/>
      <c r="H41" s="4080"/>
      <c r="I41" s="4098"/>
      <c r="J41" s="3239"/>
      <c r="K41" s="2472"/>
    </row>
    <row r="42" spans="1:21" s="2560" customFormat="1" ht="108" customHeight="1">
      <c r="A42" s="3242"/>
      <c r="B42" s="3240"/>
      <c r="C42" s="3240"/>
      <c r="D42" s="3252" t="s">
        <v>10641</v>
      </c>
      <c r="E42" s="3240"/>
      <c r="F42" s="3253"/>
      <c r="G42" s="3238"/>
      <c r="H42" s="4080"/>
      <c r="I42" s="4098"/>
      <c r="J42" s="3239"/>
      <c r="K42" s="2472"/>
      <c r="L42" s="2563"/>
    </row>
    <row r="43" spans="1:21" s="2560" customFormat="1" ht="13.5" customHeight="1">
      <c r="A43" s="3525">
        <v>8</v>
      </c>
      <c r="B43" s="4363">
        <v>742</v>
      </c>
      <c r="C43" s="3536" t="s">
        <v>7406</v>
      </c>
      <c r="D43" s="5421" t="s">
        <v>7161</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7518</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8369</v>
      </c>
      <c r="E45" s="3240"/>
      <c r="F45" s="5314"/>
      <c r="G45" s="3238"/>
      <c r="H45" s="4080"/>
      <c r="I45" s="4098"/>
      <c r="J45" s="3239"/>
      <c r="K45" s="2472"/>
    </row>
    <row r="46" spans="1:21" s="1061" customFormat="1" ht="13.5" customHeight="1">
      <c r="A46" s="3525">
        <v>9</v>
      </c>
      <c r="B46" s="4363">
        <v>742</v>
      </c>
      <c r="C46" s="3536" t="s">
        <v>7408</v>
      </c>
      <c r="D46" s="5413" t="s">
        <v>7525</v>
      </c>
      <c r="E46" s="5373" t="s">
        <v>23</v>
      </c>
      <c r="F46" s="3050">
        <v>1</v>
      </c>
      <c r="G46" s="3052"/>
      <c r="H46" s="3975">
        <f>ROUND(F46*G46,2)</f>
        <v>0</v>
      </c>
      <c r="I46" s="4097"/>
      <c r="J46" s="3049" t="s">
        <v>60</v>
      </c>
    </row>
    <row r="47" spans="1:21" s="3595" customFormat="1" ht="13.5" customHeight="1">
      <c r="A47" s="5424">
        <v>10</v>
      </c>
      <c r="B47" s="5425">
        <v>742</v>
      </c>
      <c r="C47" s="5418">
        <v>998742203</v>
      </c>
      <c r="D47" s="5426" t="s">
        <v>7409</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7410</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7411</v>
      </c>
      <c r="E50" s="3599"/>
      <c r="F50" s="3600"/>
      <c r="G50" s="3597"/>
      <c r="H50" s="3899"/>
      <c r="I50" s="4100"/>
      <c r="J50" s="3601"/>
      <c r="K50" s="5486"/>
      <c r="L50" s="2290"/>
    </row>
    <row r="51" spans="1:25" s="2549" customFormat="1" ht="13.5" customHeight="1">
      <c r="A51" s="3237"/>
      <c r="B51" s="3521"/>
      <c r="C51" s="3521">
        <v>742</v>
      </c>
      <c r="D51" s="5428" t="s">
        <v>7412</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7413</v>
      </c>
      <c r="D52" s="5430" t="s">
        <v>7414</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7415</v>
      </c>
      <c r="E53" s="3046"/>
      <c r="F53" s="5416"/>
      <c r="G53" s="3052"/>
      <c r="H53" s="4082"/>
      <c r="I53" s="4096"/>
      <c r="J53" s="3049"/>
      <c r="K53" s="2528"/>
    </row>
    <row r="54" spans="1:25" s="2549" customFormat="1" ht="13.5" customHeight="1">
      <c r="A54" s="5415"/>
      <c r="B54" s="3536"/>
      <c r="C54" s="3536"/>
      <c r="D54" s="5414" t="s">
        <v>6330</v>
      </c>
      <c r="E54" s="3046"/>
      <c r="F54" s="5416">
        <v>1</v>
      </c>
      <c r="G54" s="3052"/>
      <c r="H54" s="4082"/>
      <c r="I54" s="4096"/>
      <c r="J54" s="3049"/>
      <c r="K54" s="5482"/>
    </row>
    <row r="55" spans="1:25" s="2549" customFormat="1" ht="13.5" customHeight="1">
      <c r="A55" s="5415"/>
      <c r="B55" s="3536"/>
      <c r="C55" s="3536"/>
      <c r="D55" s="5414" t="s">
        <v>6802</v>
      </c>
      <c r="E55" s="3046"/>
      <c r="F55" s="5416">
        <v>3</v>
      </c>
      <c r="G55" s="3052"/>
      <c r="H55" s="4082"/>
      <c r="I55" s="4096"/>
      <c r="J55" s="3049"/>
      <c r="K55" s="5482"/>
    </row>
    <row r="56" spans="1:25" s="2549" customFormat="1" ht="13.5" customHeight="1">
      <c r="A56" s="5415"/>
      <c r="B56" s="3536"/>
      <c r="C56" s="3536"/>
      <c r="D56" s="5414" t="s">
        <v>6520</v>
      </c>
      <c r="E56" s="3046"/>
      <c r="F56" s="5416">
        <v>4</v>
      </c>
      <c r="G56" s="3052"/>
      <c r="H56" s="4082"/>
      <c r="I56" s="4096"/>
      <c r="J56" s="3049"/>
      <c r="K56" s="5482"/>
    </row>
    <row r="57" spans="1:25" s="2549" customFormat="1" ht="13.5" customHeight="1">
      <c r="A57" s="5415"/>
      <c r="B57" s="3536"/>
      <c r="C57" s="3536"/>
      <c r="D57" s="5414" t="s">
        <v>6521</v>
      </c>
      <c r="E57" s="3046"/>
      <c r="F57" s="5416">
        <v>8</v>
      </c>
      <c r="G57" s="3052"/>
      <c r="H57" s="4082"/>
      <c r="I57" s="4096"/>
      <c r="J57" s="3049"/>
      <c r="K57" s="5482"/>
    </row>
    <row r="58" spans="1:25" s="2549" customFormat="1" ht="13.5" customHeight="1">
      <c r="A58" s="5415"/>
      <c r="B58" s="3536"/>
      <c r="C58" s="3536"/>
      <c r="D58" s="5431" t="s">
        <v>7416</v>
      </c>
      <c r="E58" s="3046"/>
      <c r="F58" s="5284"/>
      <c r="G58" s="3052"/>
      <c r="H58" s="4082"/>
      <c r="I58" s="4096"/>
      <c r="J58" s="3049"/>
    </row>
    <row r="59" spans="1:25" s="2549" customFormat="1" ht="13.5" customHeight="1">
      <c r="A59" s="5415">
        <v>13</v>
      </c>
      <c r="B59" s="3536" t="s">
        <v>4985</v>
      </c>
      <c r="C59" s="3536" t="s">
        <v>7420</v>
      </c>
      <c r="D59" s="5413" t="s">
        <v>7417</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7418</v>
      </c>
      <c r="E60" s="3610"/>
      <c r="F60" s="5433"/>
      <c r="G60" s="3048"/>
      <c r="H60" s="4082"/>
      <c r="I60" s="4096"/>
      <c r="J60" s="3049"/>
      <c r="N60" s="5352"/>
    </row>
    <row r="61" spans="1:25" s="2549" customFormat="1" ht="13.5" customHeight="1">
      <c r="A61" s="3637"/>
      <c r="B61" s="3536"/>
      <c r="C61" s="3536"/>
      <c r="D61" s="4364" t="s">
        <v>7419</v>
      </c>
      <c r="E61" s="3046"/>
      <c r="F61" s="5433">
        <v>1</v>
      </c>
      <c r="G61" s="3048"/>
      <c r="H61" s="4082"/>
      <c r="I61" s="4096"/>
      <c r="J61" s="3049"/>
      <c r="L61" s="5273"/>
      <c r="N61" s="5352"/>
    </row>
    <row r="62" spans="1:25" s="1346" customFormat="1" ht="40.5" customHeight="1">
      <c r="A62" s="3106"/>
      <c r="B62" s="5434"/>
      <c r="C62" s="3377"/>
      <c r="D62" s="5435" t="s">
        <v>10417</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10418</v>
      </c>
      <c r="D63" s="5438" t="s">
        <v>7421</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7422</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6330</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6802</v>
      </c>
      <c r="E66" s="5439"/>
      <c r="F66" s="5416">
        <v>1</v>
      </c>
      <c r="G66" s="5441"/>
      <c r="H66" s="4085"/>
      <c r="I66" s="4103"/>
      <c r="J66" s="3239"/>
      <c r="K66" s="5482"/>
    </row>
    <row r="67" spans="1:22" s="2560" customFormat="1" ht="27" customHeight="1">
      <c r="A67" s="5415"/>
      <c r="B67" s="5423"/>
      <c r="C67" s="5423"/>
      <c r="D67" s="5320" t="s">
        <v>7423</v>
      </c>
      <c r="E67" s="5439"/>
      <c r="F67" s="5440"/>
      <c r="G67" s="5441"/>
      <c r="H67" s="4085"/>
      <c r="I67" s="4103"/>
      <c r="J67" s="3239"/>
    </row>
    <row r="68" spans="1:22" s="52" customFormat="1" ht="13.5" customHeight="1">
      <c r="A68" s="3525">
        <v>15</v>
      </c>
      <c r="B68" s="4363">
        <v>742</v>
      </c>
      <c r="C68" s="3536" t="s">
        <v>10419</v>
      </c>
      <c r="D68" s="4456" t="s">
        <v>7425</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7426</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6802</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6520</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6521</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10430</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10429</v>
      </c>
      <c r="D74" s="3046" t="s">
        <v>10428</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10432</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10431</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10448</v>
      </c>
      <c r="D77" s="3046" t="s">
        <v>10445</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10447</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10446</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10546</v>
      </c>
      <c r="D80" s="5413" t="s">
        <v>7404</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10420</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10415</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10547</v>
      </c>
      <c r="D83" s="3046" t="s">
        <v>10421</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10420</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10415</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7424</v>
      </c>
      <c r="D86" s="5421" t="s">
        <v>7158</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7516</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10644</v>
      </c>
      <c r="E88" s="3240"/>
      <c r="F88" s="5314"/>
      <c r="G88" s="3238"/>
      <c r="H88" s="4080"/>
      <c r="I88" s="4098"/>
      <c r="J88" s="3239"/>
      <c r="K88" s="2472"/>
    </row>
    <row r="89" spans="1:22" s="2560" customFormat="1" ht="108" customHeight="1">
      <c r="A89" s="3242"/>
      <c r="B89" s="3240"/>
      <c r="C89" s="3240"/>
      <c r="D89" s="3252" t="s">
        <v>10642</v>
      </c>
      <c r="E89" s="3240"/>
      <c r="F89" s="3253"/>
      <c r="G89" s="3238"/>
      <c r="H89" s="4080"/>
      <c r="I89" s="4098"/>
      <c r="J89" s="3239"/>
      <c r="K89" s="2472"/>
      <c r="L89" s="2563"/>
    </row>
    <row r="90" spans="1:22" s="2560" customFormat="1" ht="13.5" customHeight="1">
      <c r="A90" s="3525">
        <v>21</v>
      </c>
      <c r="B90" s="4363">
        <v>742</v>
      </c>
      <c r="C90" s="3536" t="s">
        <v>7427</v>
      </c>
      <c r="D90" s="5421" t="s">
        <v>7161</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7518</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8369</v>
      </c>
      <c r="E92" s="3240"/>
      <c r="F92" s="5314"/>
      <c r="G92" s="3238"/>
      <c r="H92" s="4080"/>
      <c r="I92" s="4098"/>
      <c r="J92" s="3239"/>
      <c r="K92" s="2472"/>
    </row>
    <row r="93" spans="1:22" s="1061" customFormat="1" ht="13.5" customHeight="1">
      <c r="A93" s="3525">
        <v>22</v>
      </c>
      <c r="B93" s="4363">
        <v>742</v>
      </c>
      <c r="C93" s="3536" t="s">
        <v>7428</v>
      </c>
      <c r="D93" s="5413" t="s">
        <v>7525</v>
      </c>
      <c r="E93" s="5373" t="s">
        <v>23</v>
      </c>
      <c r="F93" s="3050">
        <v>1</v>
      </c>
      <c r="G93" s="3052"/>
      <c r="H93" s="3975">
        <f>ROUND(F93*G93,2)</f>
        <v>0</v>
      </c>
      <c r="I93" s="4097"/>
      <c r="J93" s="3049" t="s">
        <v>60</v>
      </c>
    </row>
    <row r="94" spans="1:22" s="3595" customFormat="1" ht="13.5" customHeight="1">
      <c r="A94" s="5424">
        <v>23</v>
      </c>
      <c r="B94" s="5425">
        <v>742</v>
      </c>
      <c r="C94" s="5418">
        <v>998742203</v>
      </c>
      <c r="D94" s="5426" t="s">
        <v>7409</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7410</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7411</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7429</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7430</v>
      </c>
      <c r="D99" s="5413" t="s">
        <v>7431</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7432</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6523</v>
      </c>
      <c r="E101" s="3051"/>
      <c r="F101" s="3047">
        <v>2</v>
      </c>
      <c r="G101" s="3542"/>
      <c r="H101" s="3916"/>
      <c r="I101" s="3937"/>
      <c r="J101" s="3563"/>
      <c r="K101" s="5482"/>
      <c r="Q101" s="4723"/>
    </row>
    <row r="102" spans="1:23" s="2549" customFormat="1" ht="13.5" customHeight="1">
      <c r="A102" s="5429"/>
      <c r="B102" s="5444"/>
      <c r="C102" s="5444"/>
      <c r="D102" s="5427" t="s">
        <v>7433</v>
      </c>
      <c r="E102" s="3614"/>
      <c r="F102" s="3047"/>
      <c r="G102" s="3607"/>
      <c r="H102" s="3898"/>
      <c r="I102" s="4101"/>
      <c r="J102" s="3614"/>
    </row>
    <row r="103" spans="1:23" s="2549" customFormat="1" ht="13.5" customHeight="1">
      <c r="A103" s="5429">
        <v>26</v>
      </c>
      <c r="B103" s="4363">
        <v>742</v>
      </c>
      <c r="C103" s="3536" t="s">
        <v>7434</v>
      </c>
      <c r="D103" s="5413" t="s">
        <v>7435</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7436</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6519</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6520</v>
      </c>
      <c r="E106" s="3051"/>
      <c r="F106" s="3047">
        <v>1</v>
      </c>
      <c r="G106" s="3542"/>
      <c r="H106" s="3916"/>
      <c r="I106" s="3937"/>
      <c r="J106" s="3563"/>
      <c r="K106"/>
      <c r="S106" s="4723"/>
      <c r="T106" s="5037"/>
    </row>
    <row r="107" spans="1:23" s="1061" customFormat="1" ht="13.5" customHeight="1">
      <c r="A107" s="3237"/>
      <c r="B107" s="3636"/>
      <c r="C107" s="3521"/>
      <c r="D107" s="5414" t="s">
        <v>6521</v>
      </c>
      <c r="E107" s="3051"/>
      <c r="F107" s="3047">
        <v>1</v>
      </c>
      <c r="G107" s="3542"/>
      <c r="H107" s="3916"/>
      <c r="I107" s="3937"/>
      <c r="J107" s="3563"/>
    </row>
    <row r="108" spans="1:23" s="2549" customFormat="1" ht="13.5" customHeight="1">
      <c r="A108" s="5429"/>
      <c r="B108" s="5444"/>
      <c r="C108" s="5444"/>
      <c r="D108" s="5427" t="s">
        <v>7433</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10487</v>
      </c>
      <c r="D109" s="4456" t="s">
        <v>7438</v>
      </c>
      <c r="E109" s="3536" t="s">
        <v>155</v>
      </c>
      <c r="F109" s="3541">
        <f>F110</f>
        <v>1</v>
      </c>
      <c r="G109" s="5918" t="s">
        <v>11555</v>
      </c>
      <c r="H109" s="5919"/>
      <c r="I109" s="3937"/>
      <c r="J109" s="3529" t="s">
        <v>60</v>
      </c>
      <c r="K109" s="1061"/>
      <c r="M109" s="1061"/>
    </row>
    <row r="110" spans="1:23" s="2549" customFormat="1" ht="13.5" customHeight="1">
      <c r="A110" s="3525"/>
      <c r="B110" s="4363"/>
      <c r="C110" s="3536"/>
      <c r="D110" s="4364" t="s">
        <v>7439</v>
      </c>
      <c r="E110" s="3558"/>
      <c r="F110" s="3530">
        <v>1</v>
      </c>
      <c r="G110" s="4457"/>
      <c r="H110" s="4086"/>
      <c r="I110" s="4105"/>
      <c r="J110" s="4432"/>
      <c r="K110" s="1562"/>
      <c r="M110" s="1061"/>
    </row>
    <row r="111" spans="1:23" s="52" customFormat="1" ht="13.5" customHeight="1">
      <c r="A111" s="3525">
        <v>28</v>
      </c>
      <c r="B111" s="4363">
        <v>742</v>
      </c>
      <c r="C111" s="3536" t="s">
        <v>10548</v>
      </c>
      <c r="D111" s="5413" t="s">
        <v>7404</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7405</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7137</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7437</v>
      </c>
      <c r="D114" s="5421" t="s">
        <v>7158</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7516</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10644</v>
      </c>
      <c r="E116" s="3240"/>
      <c r="F116" s="5314"/>
      <c r="G116" s="3238"/>
      <c r="H116" s="4080"/>
      <c r="I116" s="4098"/>
      <c r="J116" s="3239"/>
      <c r="K116" s="2472"/>
    </row>
    <row r="117" spans="1:21" s="2560" customFormat="1" ht="108" customHeight="1">
      <c r="A117" s="3242"/>
      <c r="B117" s="3240"/>
      <c r="C117" s="3240"/>
      <c r="D117" s="3252" t="s">
        <v>10643</v>
      </c>
      <c r="E117" s="3240"/>
      <c r="F117" s="3253"/>
      <c r="G117" s="3238"/>
      <c r="H117" s="4080"/>
      <c r="I117" s="4098"/>
      <c r="J117" s="3239"/>
      <c r="K117" s="2472"/>
      <c r="L117" s="2563"/>
    </row>
    <row r="118" spans="1:21" s="2560" customFormat="1" ht="13.5" customHeight="1">
      <c r="A118" s="3525">
        <v>30</v>
      </c>
      <c r="B118" s="4363">
        <v>742</v>
      </c>
      <c r="C118" s="3536" t="s">
        <v>10549</v>
      </c>
      <c r="D118" s="5421" t="s">
        <v>7161</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7518</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8369</v>
      </c>
      <c r="E120" s="3240"/>
      <c r="F120" s="5314"/>
      <c r="G120" s="3238"/>
      <c r="H120" s="4080"/>
      <c r="I120" s="4098"/>
      <c r="J120" s="3239"/>
      <c r="K120" s="2472"/>
    </row>
    <row r="121" spans="1:21" s="1061" customFormat="1" ht="13.5" customHeight="1">
      <c r="A121" s="3525">
        <v>31</v>
      </c>
      <c r="B121" s="4363">
        <v>742</v>
      </c>
      <c r="C121" s="3536" t="s">
        <v>7440</v>
      </c>
      <c r="D121" s="5413" t="s">
        <v>7525</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7409</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7410</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7411</v>
      </c>
      <c r="E125" s="3599"/>
      <c r="F125" s="3600"/>
      <c r="G125" s="3597"/>
      <c r="H125" s="3899"/>
      <c r="I125" s="4100"/>
      <c r="J125" s="3601"/>
      <c r="K125" s="5486"/>
      <c r="L125" s="2290"/>
    </row>
    <row r="126" spans="1:21" s="2549" customFormat="1" ht="13.5" customHeight="1">
      <c r="A126" s="3237"/>
      <c r="B126" s="3521"/>
      <c r="C126" s="3521">
        <v>742</v>
      </c>
      <c r="D126" s="5445" t="s">
        <v>7441</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7442</v>
      </c>
      <c r="D127" s="5447" t="s">
        <v>7443</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7444</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6519</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6520</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6521</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7445</v>
      </c>
      <c r="E132" s="3614"/>
      <c r="F132" s="3047"/>
      <c r="G132" s="3615"/>
      <c r="H132" s="3898"/>
      <c r="I132" s="4101"/>
      <c r="J132" s="3614"/>
    </row>
    <row r="133" spans="1:21" s="2549" customFormat="1" ht="13.5" customHeight="1">
      <c r="A133" s="5446">
        <v>35</v>
      </c>
      <c r="B133" s="4363">
        <v>742</v>
      </c>
      <c r="C133" s="3536" t="s">
        <v>7442</v>
      </c>
      <c r="D133" s="5447" t="s">
        <v>7446</v>
      </c>
      <c r="E133" s="3606" t="s">
        <v>23</v>
      </c>
      <c r="F133" s="5443">
        <f>F134</f>
        <v>1</v>
      </c>
      <c r="G133" s="3607"/>
      <c r="H133" s="3975">
        <f>ROUND(F133*G133,2)</f>
        <v>0</v>
      </c>
      <c r="I133" s="4104"/>
      <c r="J133" s="3049" t="s">
        <v>60</v>
      </c>
    </row>
    <row r="134" spans="1:21" s="2549" customFormat="1" ht="13.5" customHeight="1">
      <c r="A134" s="5444"/>
      <c r="B134" s="5444"/>
      <c r="C134" s="5444"/>
      <c r="D134" s="5420" t="s">
        <v>7447</v>
      </c>
      <c r="E134" s="3606"/>
      <c r="F134" s="3047">
        <v>1</v>
      </c>
      <c r="G134" s="3607"/>
      <c r="H134" s="3896"/>
      <c r="I134" s="4104"/>
      <c r="J134" s="3049"/>
    </row>
    <row r="135" spans="1:21" s="2549" customFormat="1" ht="27.75" customHeight="1">
      <c r="A135" s="5444"/>
      <c r="B135" s="5444"/>
      <c r="C135" s="5444"/>
      <c r="D135" s="5414" t="s">
        <v>7448</v>
      </c>
      <c r="E135" s="3610"/>
      <c r="F135" s="5369"/>
      <c r="G135" s="5432"/>
      <c r="H135" s="4087"/>
      <c r="I135" s="4106"/>
      <c r="J135" s="3049"/>
    </row>
    <row r="136" spans="1:21" s="2549" customFormat="1" ht="13.5" customHeight="1">
      <c r="A136" s="5446">
        <v>36</v>
      </c>
      <c r="B136" s="4363">
        <v>742</v>
      </c>
      <c r="C136" s="3536" t="s">
        <v>10422</v>
      </c>
      <c r="D136" s="4456" t="s">
        <v>7449</v>
      </c>
      <c r="E136" s="3536" t="s">
        <v>23</v>
      </c>
      <c r="F136" s="3541">
        <v>1</v>
      </c>
      <c r="G136" s="3542"/>
      <c r="H136" s="3975">
        <f>ROUND(F136*G136,2)</f>
        <v>0</v>
      </c>
      <c r="I136" s="3937"/>
      <c r="J136" s="3529" t="s">
        <v>60</v>
      </c>
    </row>
    <row r="137" spans="1:21" s="2549" customFormat="1" ht="13.5" customHeight="1">
      <c r="A137" s="5446">
        <v>37</v>
      </c>
      <c r="B137" s="4363">
        <v>742</v>
      </c>
      <c r="C137" s="3536" t="s">
        <v>10423</v>
      </c>
      <c r="D137" s="4456" t="s">
        <v>7450</v>
      </c>
      <c r="E137" s="3536" t="s">
        <v>23</v>
      </c>
      <c r="F137" s="3541">
        <v>1</v>
      </c>
      <c r="G137" s="3542"/>
      <c r="H137" s="3975">
        <f>ROUND(F137*G137,2)</f>
        <v>0</v>
      </c>
      <c r="I137" s="3937"/>
      <c r="J137" s="3529" t="s">
        <v>60</v>
      </c>
    </row>
    <row r="138" spans="1:21" s="2549" customFormat="1" ht="13.5" customHeight="1">
      <c r="A138" s="5446">
        <v>38</v>
      </c>
      <c r="B138" s="4363">
        <v>742</v>
      </c>
      <c r="C138" s="3536" t="s">
        <v>10424</v>
      </c>
      <c r="D138" s="4456" t="s">
        <v>7451</v>
      </c>
      <c r="E138" s="3536" t="s">
        <v>155</v>
      </c>
      <c r="F138" s="3541">
        <f>F139</f>
        <v>1</v>
      </c>
      <c r="G138" s="3542"/>
      <c r="H138" s="3975">
        <f>ROUND(F138*G138,2)</f>
        <v>0</v>
      </c>
      <c r="I138" s="3937"/>
      <c r="J138" s="3529" t="s">
        <v>60</v>
      </c>
    </row>
    <row r="139" spans="1:21" s="2549" customFormat="1" ht="13.5" customHeight="1">
      <c r="A139" s="5446"/>
      <c r="B139" s="4363"/>
      <c r="C139" s="3536"/>
      <c r="D139" s="5420" t="s">
        <v>10434</v>
      </c>
      <c r="E139" s="1404"/>
      <c r="F139" s="3047">
        <v>1</v>
      </c>
      <c r="G139" s="2558"/>
      <c r="H139" s="4083"/>
      <c r="I139" s="4099"/>
      <c r="J139" s="1392"/>
    </row>
    <row r="140" spans="1:21" s="2549" customFormat="1" ht="27" customHeight="1">
      <c r="A140" s="5444"/>
      <c r="B140" s="5444"/>
      <c r="C140" s="5444"/>
      <c r="D140" s="5449" t="s">
        <v>10433</v>
      </c>
      <c r="E140" s="3610"/>
      <c r="F140" s="3047"/>
      <c r="G140" s="5432"/>
      <c r="H140" s="4087"/>
      <c r="I140" s="4106"/>
      <c r="J140" s="3049"/>
    </row>
    <row r="141" spans="1:21" s="52" customFormat="1" ht="13.5" customHeight="1">
      <c r="A141" s="3525">
        <v>39</v>
      </c>
      <c r="B141" s="4363">
        <v>742</v>
      </c>
      <c r="C141" s="3536" t="s">
        <v>10550</v>
      </c>
      <c r="D141" s="4456" t="s">
        <v>7453</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7454</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7455</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7452</v>
      </c>
      <c r="D144" s="5421" t="s">
        <v>7158</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7516</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10644</v>
      </c>
      <c r="E146" s="3240"/>
      <c r="F146" s="5314"/>
      <c r="G146" s="3238"/>
      <c r="H146" s="4080"/>
      <c r="I146" s="4098"/>
      <c r="J146" s="3239"/>
      <c r="K146" s="2472"/>
    </row>
    <row r="147" spans="1:21" s="2560" customFormat="1" ht="108" customHeight="1">
      <c r="A147" s="3242"/>
      <c r="B147" s="3240"/>
      <c r="C147" s="3240"/>
      <c r="D147" s="3252" t="s">
        <v>10552</v>
      </c>
      <c r="E147" s="3240"/>
      <c r="F147" s="3253"/>
      <c r="G147" s="3238"/>
      <c r="H147" s="4080"/>
      <c r="I147" s="4098"/>
      <c r="J147" s="3239"/>
      <c r="K147" s="2472"/>
      <c r="L147" s="2563"/>
    </row>
    <row r="148" spans="1:21" s="2560" customFormat="1" ht="13.5" customHeight="1">
      <c r="A148" s="3525">
        <v>41</v>
      </c>
      <c r="B148" s="4363">
        <v>742</v>
      </c>
      <c r="C148" s="3536" t="s">
        <v>7456</v>
      </c>
      <c r="D148" s="5421" t="s">
        <v>7161</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7518</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8369</v>
      </c>
      <c r="E150" s="3240"/>
      <c r="F150" s="5314"/>
      <c r="G150" s="3238"/>
      <c r="H150" s="4080"/>
      <c r="I150" s="4098"/>
      <c r="J150" s="3239"/>
      <c r="K150" s="2472"/>
    </row>
    <row r="151" spans="1:21" s="1061" customFormat="1" ht="13.5" customHeight="1">
      <c r="A151" s="3525">
        <v>42</v>
      </c>
      <c r="B151" s="4363">
        <v>742</v>
      </c>
      <c r="C151" s="3536" t="s">
        <v>10551</v>
      </c>
      <c r="D151" s="5413" t="s">
        <v>7525</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7409</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7410</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7411</v>
      </c>
      <c r="E155" s="3599"/>
      <c r="F155" s="3600"/>
      <c r="G155" s="3597"/>
      <c r="H155" s="3899"/>
      <c r="I155" s="4100"/>
      <c r="J155" s="3601"/>
      <c r="K155" s="5486"/>
      <c r="L155" s="2290"/>
    </row>
    <row r="156" spans="1:21" s="2549" customFormat="1" ht="13.5" customHeight="1">
      <c r="A156" s="3237"/>
      <c r="B156" s="3521"/>
      <c r="C156" s="3521">
        <v>742</v>
      </c>
      <c r="D156" s="5445" t="s">
        <v>7457</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7458</v>
      </c>
      <c r="D157" s="5430" t="s">
        <v>7459</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7460</v>
      </c>
      <c r="E158" s="3614"/>
      <c r="F158" s="3047">
        <v>1</v>
      </c>
      <c r="G158" s="3615"/>
      <c r="H158" s="3898"/>
      <c r="I158" s="4101"/>
      <c r="J158" s="3049"/>
      <c r="K158" s="3663"/>
      <c r="L158" s="3664"/>
      <c r="O158" s="4723"/>
    </row>
    <row r="159" spans="1:21" s="52" customFormat="1" ht="27" customHeight="1">
      <c r="A159" s="5454"/>
      <c r="B159" s="5452"/>
      <c r="C159" s="3536"/>
      <c r="D159" s="5453" t="s">
        <v>7461</v>
      </c>
      <c r="E159" s="3614"/>
      <c r="F159" s="2562"/>
      <c r="G159" s="3615"/>
      <c r="H159" s="3898"/>
      <c r="I159" s="4101"/>
      <c r="J159" s="3049"/>
      <c r="K159" s="5492"/>
      <c r="L159" s="5490"/>
    </row>
    <row r="160" spans="1:21" s="52" customFormat="1" ht="27" customHeight="1">
      <c r="A160" s="5454"/>
      <c r="B160" s="5452"/>
      <c r="C160" s="3536"/>
      <c r="D160" s="5414" t="s">
        <v>7462</v>
      </c>
      <c r="E160" s="3614"/>
      <c r="F160" s="3047"/>
      <c r="G160" s="3615"/>
      <c r="H160" s="3898"/>
      <c r="I160" s="4101"/>
      <c r="J160" s="3049"/>
      <c r="K160" s="5490"/>
      <c r="L160" s="5490"/>
    </row>
    <row r="161" spans="1:32" s="52" customFormat="1" ht="13.5" customHeight="1">
      <c r="A161" s="5429">
        <v>46</v>
      </c>
      <c r="B161" s="4363">
        <v>742</v>
      </c>
      <c r="C161" s="3536" t="s">
        <v>7463</v>
      </c>
      <c r="D161" s="5455" t="s">
        <v>7464</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7465</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6523</v>
      </c>
      <c r="E163" s="3610"/>
      <c r="F163" s="3611">
        <v>37</v>
      </c>
      <c r="G163" s="3542"/>
      <c r="H163" s="3916"/>
      <c r="I163" s="3937"/>
      <c r="J163" s="3049"/>
      <c r="K163" s="5497"/>
      <c r="M163" s="5273"/>
      <c r="U163" s="5495"/>
    </row>
    <row r="164" spans="1:32" s="1061" customFormat="1" ht="13.5" customHeight="1">
      <c r="A164" s="3237"/>
      <c r="B164" s="3536"/>
      <c r="C164" s="3536"/>
      <c r="D164" s="5420" t="s">
        <v>6519</v>
      </c>
      <c r="E164" s="3610"/>
      <c r="F164" s="3611">
        <v>30</v>
      </c>
      <c r="G164" s="3542"/>
      <c r="H164" s="3916"/>
      <c r="I164" s="3937"/>
      <c r="J164" s="3049"/>
      <c r="K164" s="3663"/>
      <c r="L164" s="3664"/>
      <c r="R164" s="5034"/>
    </row>
    <row r="165" spans="1:32" s="1061" customFormat="1" ht="13.5" customHeight="1">
      <c r="A165" s="3237"/>
      <c r="B165" s="3536"/>
      <c r="C165" s="3536"/>
      <c r="D165" s="5420" t="s">
        <v>6520</v>
      </c>
      <c r="E165" s="3610"/>
      <c r="F165" s="3611">
        <v>32</v>
      </c>
      <c r="G165" s="3542"/>
      <c r="H165" s="3916"/>
      <c r="I165" s="3937"/>
      <c r="J165" s="3049"/>
      <c r="K165" s="5497"/>
      <c r="S165" s="1091"/>
    </row>
    <row r="166" spans="1:32" s="1061" customFormat="1" ht="13.5" customHeight="1">
      <c r="A166" s="3237"/>
      <c r="B166" s="3536"/>
      <c r="C166" s="3536"/>
      <c r="D166" s="5420" t="s">
        <v>6521</v>
      </c>
      <c r="E166" s="3610"/>
      <c r="F166" s="3611">
        <v>43</v>
      </c>
      <c r="G166" s="3542"/>
      <c r="H166" s="3916"/>
      <c r="I166" s="3937"/>
      <c r="J166" s="3049"/>
      <c r="K166" s="5497"/>
    </row>
    <row r="167" spans="1:32" s="52" customFormat="1" ht="13.5" customHeight="1">
      <c r="A167" s="3237"/>
      <c r="B167" s="4363"/>
      <c r="C167" s="3536"/>
      <c r="D167" s="5414" t="s">
        <v>7466</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7467</v>
      </c>
      <c r="D168" s="5455" t="s">
        <v>7468</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7469</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6523</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6519</v>
      </c>
      <c r="E171" s="3610"/>
      <c r="F171" s="3611">
        <v>29</v>
      </c>
      <c r="G171" s="3542"/>
      <c r="H171" s="3916"/>
      <c r="I171" s="3937"/>
      <c r="J171" s="3049"/>
      <c r="K171" s="5497"/>
    </row>
    <row r="172" spans="1:32" s="1061" customFormat="1" ht="13.5" customHeight="1">
      <c r="A172" s="3237"/>
      <c r="B172" s="3536"/>
      <c r="C172" s="3536"/>
      <c r="D172" s="5420" t="s">
        <v>6520</v>
      </c>
      <c r="E172" s="3610"/>
      <c r="F172" s="3611">
        <v>31</v>
      </c>
      <c r="G172" s="3542"/>
      <c r="H172" s="3916"/>
      <c r="I172" s="3937"/>
      <c r="J172" s="3049"/>
      <c r="K172" s="5497"/>
      <c r="S172" s="1091"/>
    </row>
    <row r="173" spans="1:32" s="1061" customFormat="1" ht="13.5" customHeight="1">
      <c r="A173" s="3237"/>
      <c r="B173" s="3536"/>
      <c r="C173" s="3536"/>
      <c r="D173" s="5420" t="s">
        <v>6521</v>
      </c>
      <c r="E173" s="3610"/>
      <c r="F173" s="3611">
        <v>31</v>
      </c>
      <c r="G173" s="3542"/>
      <c r="H173" s="3916"/>
      <c r="I173" s="3937"/>
      <c r="J173" s="3049"/>
      <c r="K173" s="5497"/>
    </row>
    <row r="174" spans="1:32" s="52" customFormat="1" ht="27" customHeight="1">
      <c r="A174" s="3237"/>
      <c r="B174" s="4363"/>
      <c r="C174" s="3536"/>
      <c r="D174" s="5414" t="s">
        <v>7470</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7471</v>
      </c>
      <c r="D175" s="5455" t="s">
        <v>7472</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7473</v>
      </c>
      <c r="E176" s="3610"/>
      <c r="F176" s="5371"/>
      <c r="G176" s="3542"/>
      <c r="H176" s="3916"/>
      <c r="I176" s="3937"/>
      <c r="J176" s="3049"/>
      <c r="K176" s="2584"/>
      <c r="M176" s="3662"/>
      <c r="R176" s="5034"/>
      <c r="X176" s="5495"/>
    </row>
    <row r="177" spans="1:21" s="1061" customFormat="1" ht="13.5" customHeight="1">
      <c r="A177" s="3237"/>
      <c r="B177" s="3536"/>
      <c r="C177" s="3536"/>
      <c r="D177" s="5420" t="s">
        <v>6523</v>
      </c>
      <c r="E177" s="3610"/>
      <c r="F177" s="3611">
        <v>4</v>
      </c>
      <c r="G177" s="3542"/>
      <c r="H177" s="3916"/>
      <c r="I177" s="3937"/>
      <c r="J177" s="3049"/>
      <c r="K177" s="5497"/>
    </row>
    <row r="178" spans="1:21" s="1061" customFormat="1" ht="13.5" customHeight="1">
      <c r="A178" s="3237"/>
      <c r="B178" s="3536"/>
      <c r="C178" s="3536"/>
      <c r="D178" s="5420" t="s">
        <v>6519</v>
      </c>
      <c r="E178" s="3610"/>
      <c r="F178" s="3611">
        <v>10</v>
      </c>
      <c r="G178" s="3542"/>
      <c r="H178" s="3916"/>
      <c r="I178" s="3937"/>
      <c r="J178" s="3049"/>
      <c r="K178" s="5497"/>
    </row>
    <row r="179" spans="1:21" s="1061" customFormat="1" ht="13.5" customHeight="1">
      <c r="A179" s="3237"/>
      <c r="B179" s="3536"/>
      <c r="C179" s="3536"/>
      <c r="D179" s="5420" t="s">
        <v>6520</v>
      </c>
      <c r="E179" s="3610"/>
      <c r="F179" s="3611">
        <v>7</v>
      </c>
      <c r="G179" s="3542"/>
      <c r="H179" s="3916"/>
      <c r="I179" s="3937"/>
      <c r="J179" s="3049"/>
      <c r="K179" s="5497"/>
    </row>
    <row r="180" spans="1:21" s="1061" customFormat="1" ht="13.5" customHeight="1">
      <c r="A180" s="3237"/>
      <c r="B180" s="3536"/>
      <c r="C180" s="3536"/>
      <c r="D180" s="5420" t="s">
        <v>6521</v>
      </c>
      <c r="E180" s="3610"/>
      <c r="F180" s="3611">
        <v>6</v>
      </c>
      <c r="G180" s="3542"/>
      <c r="H180" s="3916"/>
      <c r="I180" s="3937"/>
      <c r="J180" s="3049"/>
      <c r="K180" s="5497"/>
    </row>
    <row r="181" spans="1:21" s="52" customFormat="1" ht="13.5" customHeight="1">
      <c r="A181" s="3237"/>
      <c r="B181" s="5457"/>
      <c r="C181" s="3536"/>
      <c r="D181" s="5414" t="s">
        <v>7466</v>
      </c>
      <c r="E181" s="3610"/>
      <c r="F181" s="3047"/>
      <c r="G181" s="3542"/>
      <c r="H181" s="3916"/>
      <c r="I181" s="3937"/>
      <c r="J181" s="3049"/>
      <c r="K181" s="5497"/>
    </row>
    <row r="182" spans="1:21" s="52" customFormat="1" ht="13.5" customHeight="1">
      <c r="A182" s="5458">
        <v>49</v>
      </c>
      <c r="B182" s="4363">
        <v>742</v>
      </c>
      <c r="C182" s="3536" t="s">
        <v>7474</v>
      </c>
      <c r="D182" s="5455" t="s">
        <v>7475</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7476</v>
      </c>
      <c r="E183" s="3610"/>
      <c r="F183" s="5371"/>
      <c r="G183" s="5432"/>
      <c r="H183" s="4087"/>
      <c r="I183" s="4106"/>
      <c r="J183" s="3049"/>
      <c r="K183" s="5498"/>
      <c r="L183" s="5498"/>
    </row>
    <row r="184" spans="1:21" s="52" customFormat="1" ht="13.5" customHeight="1">
      <c r="A184" s="5458"/>
      <c r="B184" s="4363"/>
      <c r="C184" s="3536"/>
      <c r="D184" s="5420" t="s">
        <v>6523</v>
      </c>
      <c r="E184" s="3610"/>
      <c r="F184" s="3047">
        <v>10</v>
      </c>
      <c r="G184" s="5432"/>
      <c r="H184" s="4087"/>
      <c r="I184" s="4106"/>
      <c r="J184" s="3049"/>
      <c r="K184" s="5498"/>
      <c r="L184" s="5498"/>
    </row>
    <row r="185" spans="1:21" s="52" customFormat="1" ht="13.5" customHeight="1">
      <c r="A185" s="5458"/>
      <c r="B185" s="4363"/>
      <c r="C185" s="3536"/>
      <c r="D185" s="5420" t="s">
        <v>6519</v>
      </c>
      <c r="E185" s="3610"/>
      <c r="F185" s="3047">
        <v>19</v>
      </c>
      <c r="G185" s="5432"/>
      <c r="H185" s="4087"/>
      <c r="I185" s="4106"/>
      <c r="J185" s="3049"/>
      <c r="K185" s="3663"/>
      <c r="L185" s="3664"/>
      <c r="O185" s="4723"/>
    </row>
    <row r="186" spans="1:21" s="52" customFormat="1" ht="13.5" customHeight="1">
      <c r="A186" s="5458"/>
      <c r="B186" s="4363"/>
      <c r="C186" s="3536"/>
      <c r="D186" s="5420" t="s">
        <v>6520</v>
      </c>
      <c r="E186" s="3610"/>
      <c r="F186" s="3047">
        <v>23</v>
      </c>
      <c r="G186" s="5432"/>
      <c r="H186" s="4087"/>
      <c r="I186" s="4106"/>
      <c r="J186" s="3049"/>
      <c r="K186" s="2561"/>
      <c r="L186" s="5490"/>
      <c r="R186" s="4723"/>
      <c r="U186" s="5495"/>
    </row>
    <row r="187" spans="1:21" s="52" customFormat="1" ht="13.5" customHeight="1">
      <c r="A187" s="5458"/>
      <c r="B187" s="4363"/>
      <c r="C187" s="3536"/>
      <c r="D187" s="5420" t="s">
        <v>6521</v>
      </c>
      <c r="E187" s="3610"/>
      <c r="F187" s="3047">
        <v>27</v>
      </c>
      <c r="G187" s="5432"/>
      <c r="H187" s="4087"/>
      <c r="I187" s="4106"/>
      <c r="J187" s="3049"/>
      <c r="K187" s="5498"/>
      <c r="L187" s="5498"/>
    </row>
    <row r="188" spans="1:21" s="52" customFormat="1" ht="13.5" customHeight="1">
      <c r="A188" s="5458"/>
      <c r="B188" s="4363"/>
      <c r="C188" s="3536"/>
      <c r="D188" s="5420" t="s">
        <v>7477</v>
      </c>
      <c r="E188" s="3610"/>
      <c r="F188" s="3047">
        <v>3</v>
      </c>
      <c r="G188" s="5432"/>
      <c r="H188" s="4087"/>
      <c r="I188" s="4106"/>
      <c r="J188" s="3049"/>
      <c r="K188" s="5499"/>
      <c r="L188" s="5498"/>
    </row>
    <row r="189" spans="1:21" s="52" customFormat="1" ht="27" customHeight="1">
      <c r="A189" s="5457"/>
      <c r="B189" s="5457"/>
      <c r="C189" s="3536"/>
      <c r="D189" s="5414" t="s">
        <v>7478</v>
      </c>
      <c r="E189" s="3610"/>
      <c r="F189" s="3047"/>
      <c r="G189" s="5432"/>
      <c r="H189" s="4087"/>
      <c r="I189" s="4106"/>
      <c r="J189" s="3049"/>
      <c r="K189" s="5498"/>
      <c r="L189" s="5498"/>
    </row>
    <row r="190" spans="1:21" s="52" customFormat="1" ht="13.5" customHeight="1">
      <c r="A190" s="5458">
        <v>50</v>
      </c>
      <c r="B190" s="5452">
        <v>742</v>
      </c>
      <c r="C190" s="3536" t="s">
        <v>7479</v>
      </c>
      <c r="D190" s="5455" t="s">
        <v>7480</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7481</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7482</v>
      </c>
      <c r="E192" s="3610"/>
      <c r="F192" s="2562"/>
      <c r="G192" s="5432"/>
      <c r="H192" s="4087"/>
      <c r="I192" s="4106"/>
      <c r="J192" s="3049"/>
      <c r="Q192" s="4723"/>
      <c r="S192" s="5495"/>
      <c r="U192" s="5495"/>
    </row>
    <row r="193" spans="1:24" s="52" customFormat="1" ht="13.5" customHeight="1">
      <c r="A193" s="5429">
        <v>51</v>
      </c>
      <c r="B193" s="5452">
        <v>742</v>
      </c>
      <c r="C193" s="3536" t="s">
        <v>7483</v>
      </c>
      <c r="D193" s="5430" t="s">
        <v>7484</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7485</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6519</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6520</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6521</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7482</v>
      </c>
      <c r="E198" s="3614"/>
      <c r="F198" s="3047"/>
      <c r="G198" s="3615"/>
      <c r="H198" s="3898"/>
      <c r="I198" s="4101"/>
      <c r="J198" s="3049"/>
      <c r="K198" s="2561"/>
      <c r="L198" s="5490"/>
      <c r="U198" s="5495"/>
    </row>
    <row r="199" spans="1:24" s="52" customFormat="1" ht="13.5" customHeight="1">
      <c r="A199" s="5429">
        <v>52</v>
      </c>
      <c r="B199" s="5452">
        <v>742</v>
      </c>
      <c r="C199" s="3536" t="s">
        <v>7486</v>
      </c>
      <c r="D199" s="5413" t="s">
        <v>7487</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7488</v>
      </c>
      <c r="E200" s="3610"/>
      <c r="F200" s="3047"/>
      <c r="G200" s="3048"/>
      <c r="H200" s="4082"/>
      <c r="I200" s="4096"/>
      <c r="J200" s="3049"/>
      <c r="K200" s="5501"/>
      <c r="L200" s="5502"/>
      <c r="R200" s="5034"/>
      <c r="U200" s="5495"/>
    </row>
    <row r="201" spans="1:24" s="52" customFormat="1" ht="13.5" customHeight="1">
      <c r="A201" s="5454"/>
      <c r="B201" s="5452"/>
      <c r="C201" s="3536"/>
      <c r="D201" s="5420" t="s">
        <v>6523</v>
      </c>
      <c r="E201" s="3046"/>
      <c r="F201" s="3047">
        <v>5</v>
      </c>
      <c r="G201" s="3048"/>
      <c r="H201" s="4082"/>
      <c r="I201" s="4096"/>
      <c r="J201" s="3049"/>
      <c r="K201" s="2561"/>
      <c r="L201" s="5490"/>
      <c r="U201" s="5495"/>
    </row>
    <row r="202" spans="1:24" s="52" customFormat="1" ht="13.5" customHeight="1">
      <c r="A202" s="5454"/>
      <c r="B202" s="5452"/>
      <c r="C202" s="3536"/>
      <c r="D202" s="4364" t="s">
        <v>7489</v>
      </c>
      <c r="E202" s="3046"/>
      <c r="F202" s="3047"/>
      <c r="G202" s="3048"/>
      <c r="H202" s="4082"/>
      <c r="I202" s="4096"/>
      <c r="J202" s="3049"/>
      <c r="K202" s="2561"/>
      <c r="L202" s="5490"/>
      <c r="U202" s="5495"/>
    </row>
    <row r="203" spans="1:24" s="52" customFormat="1" ht="13.5" customHeight="1">
      <c r="A203" s="5429">
        <v>53</v>
      </c>
      <c r="B203" s="5452">
        <v>742</v>
      </c>
      <c r="C203" s="3536" t="s">
        <v>7490</v>
      </c>
      <c r="D203" s="5413" t="s">
        <v>10435</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10436</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6523</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10442</v>
      </c>
      <c r="E206" s="3046"/>
      <c r="F206" s="3047"/>
      <c r="G206" s="3048"/>
      <c r="H206" s="4082"/>
      <c r="I206" s="4096"/>
      <c r="J206" s="3049"/>
      <c r="K206" s="2561"/>
      <c r="L206" s="5490"/>
      <c r="U206" s="5495"/>
    </row>
    <row r="207" spans="1:24" s="52" customFormat="1" ht="13.5" customHeight="1">
      <c r="A207" s="5429">
        <v>54</v>
      </c>
      <c r="B207" s="5452">
        <v>742</v>
      </c>
      <c r="C207" s="3536" t="s">
        <v>10439</v>
      </c>
      <c r="D207" s="5413" t="s">
        <v>10437</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10438</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6523</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10441</v>
      </c>
      <c r="E210" s="3046"/>
      <c r="F210" s="3047"/>
      <c r="G210" s="3048"/>
      <c r="H210" s="4082"/>
      <c r="I210" s="4096"/>
      <c r="J210" s="3049"/>
      <c r="K210" s="2561"/>
      <c r="L210" s="5490"/>
      <c r="U210" s="5495"/>
    </row>
    <row r="211" spans="1:23" s="52" customFormat="1" ht="13.5" customHeight="1">
      <c r="A211" s="5429">
        <v>55</v>
      </c>
      <c r="B211" s="5452">
        <v>742</v>
      </c>
      <c r="C211" s="3536" t="s">
        <v>10553</v>
      </c>
      <c r="D211" s="5413" t="s">
        <v>10455</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10645</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10443</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10554</v>
      </c>
      <c r="D214" s="5413" t="s">
        <v>10646</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7491</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7137</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10555</v>
      </c>
      <c r="D217" s="5413" t="s">
        <v>10647</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7491</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7137</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7492</v>
      </c>
      <c r="D220" s="5421" t="s">
        <v>7158</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7516</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10644</v>
      </c>
      <c r="E222" s="3240"/>
      <c r="F222" s="5314"/>
      <c r="G222" s="3238"/>
      <c r="H222" s="4080"/>
      <c r="I222" s="4098"/>
      <c r="J222" s="3239"/>
      <c r="K222" s="2472"/>
    </row>
    <row r="223" spans="1:23" s="2560" customFormat="1" ht="108" customHeight="1">
      <c r="A223" s="3242"/>
      <c r="B223" s="3240"/>
      <c r="C223" s="3240"/>
      <c r="D223" s="3252" t="s">
        <v>10648</v>
      </c>
      <c r="E223" s="3240"/>
      <c r="F223" s="3253"/>
      <c r="G223" s="3238"/>
      <c r="H223" s="4080"/>
      <c r="I223" s="4098"/>
      <c r="J223" s="4365"/>
      <c r="K223" s="5357"/>
      <c r="L223" s="2563"/>
    </row>
    <row r="224" spans="1:23" s="2560" customFormat="1" ht="13.5" customHeight="1">
      <c r="A224" s="3525">
        <v>59</v>
      </c>
      <c r="B224" s="4363">
        <v>742</v>
      </c>
      <c r="C224" s="3536" t="s">
        <v>7493</v>
      </c>
      <c r="D224" s="5421" t="s">
        <v>7161</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7518</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8369</v>
      </c>
      <c r="E226" s="3240"/>
      <c r="F226" s="5314"/>
      <c r="G226" s="3238"/>
      <c r="H226" s="4080"/>
      <c r="I226" s="4098"/>
      <c r="J226" s="3239"/>
      <c r="K226" s="2472"/>
    </row>
    <row r="227" spans="1:21" s="1061" customFormat="1" ht="13.5" customHeight="1">
      <c r="A227" s="3525">
        <v>60</v>
      </c>
      <c r="B227" s="4363">
        <v>742</v>
      </c>
      <c r="C227" s="3536" t="s">
        <v>10440</v>
      </c>
      <c r="D227" s="5413" t="s">
        <v>7525</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7409</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7410</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7411</v>
      </c>
      <c r="E231" s="3599"/>
      <c r="F231" s="3600"/>
      <c r="G231" s="3597"/>
      <c r="H231" s="3899"/>
      <c r="I231" s="4100"/>
      <c r="J231" s="3601"/>
      <c r="K231" s="5486"/>
      <c r="L231" s="2290"/>
    </row>
    <row r="232" spans="1:21" s="2549" customFormat="1" ht="13.5" customHeight="1">
      <c r="A232" s="3237"/>
      <c r="B232" s="3521"/>
      <c r="C232" s="3521">
        <v>742</v>
      </c>
      <c r="D232" s="5445" t="s">
        <v>7494</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7495</v>
      </c>
      <c r="D233" s="5447" t="s">
        <v>7496</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7497</v>
      </c>
      <c r="E234" s="3610"/>
      <c r="F234" s="5371"/>
      <c r="G234" s="5432"/>
      <c r="H234" s="4087"/>
      <c r="I234" s="4106"/>
      <c r="J234" s="3049"/>
    </row>
    <row r="235" spans="1:21" s="1061" customFormat="1" ht="13.5" customHeight="1">
      <c r="A235" s="3237"/>
      <c r="B235" s="3536"/>
      <c r="C235" s="3536"/>
      <c r="D235" s="5420" t="s">
        <v>6523</v>
      </c>
      <c r="E235" s="3610"/>
      <c r="F235" s="3611">
        <v>1</v>
      </c>
      <c r="G235" s="3052"/>
      <c r="H235" s="4082"/>
      <c r="I235" s="4096"/>
      <c r="J235" s="3049"/>
      <c r="K235" s="5497"/>
      <c r="R235" s="4723"/>
    </row>
    <row r="236" spans="1:21" s="1061" customFormat="1" ht="27" customHeight="1">
      <c r="A236" s="5429"/>
      <c r="B236" s="4363"/>
      <c r="C236" s="3536"/>
      <c r="D236" s="5414" t="s">
        <v>10444</v>
      </c>
      <c r="E236" s="3610"/>
      <c r="F236" s="3047"/>
      <c r="G236" s="5432"/>
      <c r="H236" s="4569"/>
      <c r="I236" s="4570"/>
      <c r="J236" s="3049"/>
    </row>
    <row r="237" spans="1:21" s="1061" customFormat="1" ht="27" customHeight="1">
      <c r="A237" s="3638"/>
      <c r="B237" s="3521"/>
      <c r="C237" s="5459"/>
      <c r="D237" s="5414" t="s">
        <v>7498</v>
      </c>
      <c r="E237" s="3610"/>
      <c r="F237" s="5460"/>
      <c r="G237" s="5432"/>
      <c r="H237" s="4087"/>
      <c r="I237" s="4106"/>
      <c r="J237" s="3563"/>
    </row>
    <row r="238" spans="1:21" s="1061" customFormat="1" ht="13.5" customHeight="1">
      <c r="A238" s="5429">
        <v>64</v>
      </c>
      <c r="B238" s="4363">
        <v>742</v>
      </c>
      <c r="C238" s="3536" t="s">
        <v>7499</v>
      </c>
      <c r="D238" s="5455" t="s">
        <v>7500</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7501</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6519</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6520</v>
      </c>
      <c r="E241" s="3610"/>
      <c r="F241" s="3611">
        <v>1</v>
      </c>
      <c r="G241" s="3052"/>
      <c r="H241" s="4082"/>
      <c r="I241" s="4096"/>
      <c r="J241" s="3049"/>
      <c r="K241" s="4733"/>
      <c r="L241" s="4734"/>
    </row>
    <row r="242" spans="1:20" s="1061" customFormat="1" ht="13.5" customHeight="1">
      <c r="A242" s="3237"/>
      <c r="B242" s="3536"/>
      <c r="C242" s="3536"/>
      <c r="D242" s="5420" t="s">
        <v>6521</v>
      </c>
      <c r="E242" s="3610"/>
      <c r="F242" s="3611">
        <v>1</v>
      </c>
      <c r="G242" s="3052"/>
      <c r="H242" s="4082"/>
      <c r="I242" s="4096"/>
      <c r="J242" s="3049"/>
      <c r="K242" s="5504"/>
    </row>
    <row r="243" spans="1:20" s="1061" customFormat="1" ht="13.5" customHeight="1">
      <c r="A243" s="3638"/>
      <c r="B243" s="3521"/>
      <c r="C243" s="5459"/>
      <c r="D243" s="5420" t="s">
        <v>7502</v>
      </c>
      <c r="E243" s="3610"/>
      <c r="F243" s="3047"/>
      <c r="G243" s="5432"/>
      <c r="H243" s="4569"/>
      <c r="I243" s="4570"/>
      <c r="J243" s="3563"/>
      <c r="R243" s="5505"/>
    </row>
    <row r="244" spans="1:20" s="1061" customFormat="1" ht="13.5" customHeight="1">
      <c r="A244" s="5429">
        <v>65</v>
      </c>
      <c r="B244" s="4363">
        <v>742</v>
      </c>
      <c r="C244" s="3536" t="s">
        <v>7503</v>
      </c>
      <c r="D244" s="5455" t="s">
        <v>7504</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7505</v>
      </c>
      <c r="E245" s="3610"/>
      <c r="F245" s="5371"/>
      <c r="G245" s="5432"/>
      <c r="H245" s="4087"/>
      <c r="I245" s="4106"/>
      <c r="J245" s="3049"/>
      <c r="K245" s="4733"/>
      <c r="L245" s="4734"/>
      <c r="S245" s="4723"/>
      <c r="T245" s="52"/>
    </row>
    <row r="246" spans="1:20" s="1061" customFormat="1" ht="13.5" customHeight="1">
      <c r="A246" s="3638"/>
      <c r="B246" s="3521"/>
      <c r="C246" s="5459"/>
      <c r="D246" s="5420" t="s">
        <v>6523</v>
      </c>
      <c r="E246" s="3610"/>
      <c r="F246" s="3611">
        <v>21</v>
      </c>
      <c r="G246" s="5432"/>
      <c r="H246" s="4090"/>
      <c r="I246" s="4109"/>
      <c r="J246" s="3049"/>
    </row>
    <row r="247" spans="1:20" s="1061" customFormat="1" ht="13.5" customHeight="1">
      <c r="A247" s="3638"/>
      <c r="B247" s="3521"/>
      <c r="C247" s="5459"/>
      <c r="D247" s="5420" t="s">
        <v>6519</v>
      </c>
      <c r="E247" s="3610"/>
      <c r="F247" s="3611">
        <v>61</v>
      </c>
      <c r="G247" s="5432"/>
      <c r="H247" s="4090"/>
      <c r="I247" s="4109"/>
      <c r="J247" s="3563"/>
    </row>
    <row r="248" spans="1:20" s="1061" customFormat="1" ht="13.5" customHeight="1">
      <c r="A248" s="3638"/>
      <c r="B248" s="3521"/>
      <c r="C248" s="5459"/>
      <c r="D248" s="5420" t="s">
        <v>6520</v>
      </c>
      <c r="E248" s="3610"/>
      <c r="F248" s="3611">
        <v>59</v>
      </c>
      <c r="G248" s="5432"/>
      <c r="H248" s="4090"/>
      <c r="I248" s="4109"/>
      <c r="J248" s="3563"/>
    </row>
    <row r="249" spans="1:20" s="1061" customFormat="1" ht="13.5" customHeight="1">
      <c r="A249" s="3638"/>
      <c r="B249" s="3521"/>
      <c r="C249" s="5459"/>
      <c r="D249" s="5420" t="s">
        <v>6521</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7506</v>
      </c>
      <c r="E250" s="3610"/>
      <c r="F250" s="3047"/>
      <c r="G250" s="5432"/>
      <c r="H250" s="4569"/>
      <c r="I250" s="4570"/>
      <c r="J250" s="3563"/>
      <c r="K250" s="3688"/>
      <c r="S250" s="5507"/>
    </row>
    <row r="251" spans="1:20" s="1061" customFormat="1" ht="13.5" customHeight="1">
      <c r="A251" s="5429">
        <v>66</v>
      </c>
      <c r="B251" s="4363">
        <v>742</v>
      </c>
      <c r="C251" s="3536" t="s">
        <v>7507</v>
      </c>
      <c r="D251" s="5455" t="s">
        <v>7508</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7509</v>
      </c>
      <c r="E252" s="3610"/>
      <c r="F252" s="5371"/>
      <c r="G252" s="5432"/>
      <c r="H252" s="4088"/>
      <c r="I252" s="4107"/>
      <c r="J252" s="3049"/>
      <c r="K252" s="3663"/>
      <c r="L252" s="3664"/>
      <c r="S252" s="4723"/>
      <c r="T252" s="52"/>
    </row>
    <row r="253" spans="1:20" s="1061" customFormat="1" ht="13.5" customHeight="1">
      <c r="A253" s="3638"/>
      <c r="B253" s="3521"/>
      <c r="C253" s="5459"/>
      <c r="D253" s="5420" t="s">
        <v>6523</v>
      </c>
      <c r="E253" s="3610"/>
      <c r="F253" s="3611">
        <v>17</v>
      </c>
      <c r="G253" s="5432"/>
      <c r="H253" s="4090"/>
      <c r="I253" s="4109"/>
      <c r="J253" s="3049"/>
      <c r="S253" s="5507"/>
    </row>
    <row r="254" spans="1:20" s="1061" customFormat="1" ht="13.5" customHeight="1">
      <c r="A254" s="3638"/>
      <c r="B254" s="3521"/>
      <c r="C254" s="5459"/>
      <c r="D254" s="5420" t="s">
        <v>6519</v>
      </c>
      <c r="E254" s="3610"/>
      <c r="F254" s="3611">
        <v>7</v>
      </c>
      <c r="G254" s="5432"/>
      <c r="H254" s="4090"/>
      <c r="I254" s="4109"/>
      <c r="J254" s="3563"/>
    </row>
    <row r="255" spans="1:20" s="1061" customFormat="1" ht="13.5" customHeight="1">
      <c r="A255" s="3638"/>
      <c r="B255" s="3521"/>
      <c r="C255" s="5459"/>
      <c r="D255" s="5420" t="s">
        <v>6520</v>
      </c>
      <c r="E255" s="3610"/>
      <c r="F255" s="3611">
        <v>16</v>
      </c>
      <c r="G255" s="5432"/>
      <c r="H255" s="4090"/>
      <c r="I255" s="4109"/>
      <c r="J255" s="3563"/>
    </row>
    <row r="256" spans="1:20" s="1061" customFormat="1" ht="13.5" customHeight="1">
      <c r="A256" s="3638"/>
      <c r="B256" s="3521"/>
      <c r="C256" s="5459"/>
      <c r="D256" s="5420" t="s">
        <v>6521</v>
      </c>
      <c r="E256" s="3610"/>
      <c r="F256" s="3611">
        <v>15</v>
      </c>
      <c r="G256" s="5432"/>
      <c r="H256" s="4090"/>
      <c r="I256" s="4109"/>
      <c r="J256" s="3563"/>
    </row>
    <row r="257" spans="1:22" s="1061" customFormat="1" ht="13.5" customHeight="1">
      <c r="A257" s="3638"/>
      <c r="B257" s="3521"/>
      <c r="C257" s="5459"/>
      <c r="D257" s="5414" t="s">
        <v>7506</v>
      </c>
      <c r="E257" s="3610"/>
      <c r="F257" s="3047"/>
      <c r="G257" s="5432"/>
      <c r="H257" s="4089"/>
      <c r="I257" s="4108"/>
      <c r="J257" s="3563"/>
    </row>
    <row r="258" spans="1:22" s="52" customFormat="1" ht="13.5" customHeight="1">
      <c r="A258" s="3525">
        <v>67</v>
      </c>
      <c r="B258" s="4363">
        <v>742</v>
      </c>
      <c r="C258" s="3536" t="s">
        <v>10556</v>
      </c>
      <c r="D258" s="4456" t="s">
        <v>7511</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7512</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7137</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7510</v>
      </c>
      <c r="D261" s="5421" t="s">
        <v>7158</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7516</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10644</v>
      </c>
      <c r="E263" s="3240"/>
      <c r="F263" s="5314"/>
      <c r="G263" s="3238"/>
      <c r="H263" s="4080"/>
      <c r="I263" s="4098"/>
      <c r="J263" s="3239"/>
      <c r="K263" s="2472"/>
    </row>
    <row r="264" spans="1:22" s="2560" customFormat="1" ht="94.5" customHeight="1">
      <c r="A264" s="3242"/>
      <c r="B264" s="3240"/>
      <c r="C264" s="3240"/>
      <c r="D264" s="3252" t="s">
        <v>10649</v>
      </c>
      <c r="E264" s="3240"/>
      <c r="F264" s="3253"/>
      <c r="G264" s="3238"/>
      <c r="H264" s="4080"/>
      <c r="I264" s="4098"/>
      <c r="J264" s="3239"/>
      <c r="K264" s="5357"/>
      <c r="L264" s="2563"/>
    </row>
    <row r="265" spans="1:22" s="2560" customFormat="1" ht="13.5" customHeight="1">
      <c r="A265" s="3525">
        <v>69</v>
      </c>
      <c r="B265" s="4363">
        <v>742</v>
      </c>
      <c r="C265" s="3536" t="s">
        <v>7513</v>
      </c>
      <c r="D265" s="5421" t="s">
        <v>7161</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7518</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8369</v>
      </c>
      <c r="E267" s="3240"/>
      <c r="F267" s="5314"/>
      <c r="G267" s="3238"/>
      <c r="H267" s="4080"/>
      <c r="I267" s="4098"/>
      <c r="J267" s="3239"/>
      <c r="K267" s="2472"/>
    </row>
    <row r="268" spans="1:22" s="1061" customFormat="1" ht="13.5" customHeight="1">
      <c r="A268" s="3525">
        <v>70</v>
      </c>
      <c r="B268" s="4363">
        <v>742</v>
      </c>
      <c r="C268" s="3536" t="s">
        <v>10557</v>
      </c>
      <c r="D268" s="5413" t="s">
        <v>7525</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7409</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7410</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7411</v>
      </c>
      <c r="E272" s="3599"/>
      <c r="F272" s="3600"/>
      <c r="G272" s="3597"/>
      <c r="H272" s="3899"/>
      <c r="I272" s="4100"/>
      <c r="J272" s="3601"/>
      <c r="K272" s="5486"/>
      <c r="L272" s="2290"/>
    </row>
    <row r="273" spans="1:21" s="2549" customFormat="1" ht="13.5" customHeight="1">
      <c r="A273" s="3237"/>
      <c r="B273" s="3521"/>
      <c r="C273" s="3521">
        <v>742</v>
      </c>
      <c r="D273" s="5445" t="s">
        <v>7514</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7515</v>
      </c>
      <c r="D274" s="5317" t="s">
        <v>10651</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11682</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10650</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7517</v>
      </c>
      <c r="D277" s="5461" t="s">
        <v>7520</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7521</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7522</v>
      </c>
      <c r="E279" s="3240"/>
      <c r="F279" s="5314"/>
      <c r="G279" s="3238"/>
      <c r="H279" s="4080"/>
      <c r="I279" s="4098"/>
      <c r="J279" s="2470"/>
      <c r="K279" s="2472"/>
    </row>
    <row r="280" spans="1:21" s="2303" customFormat="1" ht="94.5" customHeight="1">
      <c r="A280" s="5322"/>
      <c r="B280" s="5323"/>
      <c r="C280" s="5323"/>
      <c r="D280" s="5324" t="s">
        <v>10543</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7519</v>
      </c>
      <c r="D282" s="5470" t="s">
        <v>10449</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10452</v>
      </c>
      <c r="E283" s="3536"/>
      <c r="F283" s="3530"/>
      <c r="G283" s="3542"/>
      <c r="H283" s="3905"/>
      <c r="I283" s="3926"/>
      <c r="J283" s="4432"/>
      <c r="K283" s="5503"/>
    </row>
    <row r="284" spans="1:21" s="52" customFormat="1" ht="13.5" customHeight="1">
      <c r="A284" s="3525"/>
      <c r="B284" s="3536"/>
      <c r="C284" s="3536"/>
      <c r="D284" s="3548" t="s">
        <v>10450</v>
      </c>
      <c r="E284" s="3536"/>
      <c r="F284" s="3530"/>
      <c r="G284" s="3542"/>
      <c r="H284" s="3905"/>
      <c r="I284" s="3926"/>
      <c r="J284" s="4432"/>
      <c r="K284" s="5503"/>
    </row>
    <row r="285" spans="1:21" s="1061" customFormat="1" ht="13.5" customHeight="1">
      <c r="A285" s="3638"/>
      <c r="B285" s="3521"/>
      <c r="C285" s="5459"/>
      <c r="D285" s="5474" t="s">
        <v>6520</v>
      </c>
      <c r="E285" s="5457"/>
      <c r="F285" s="5475">
        <v>5</v>
      </c>
      <c r="G285" s="5476"/>
      <c r="H285" s="4093"/>
      <c r="I285" s="4112"/>
      <c r="J285" s="4432"/>
    </row>
    <row r="286" spans="1:21" s="1061" customFormat="1" ht="13.5" customHeight="1">
      <c r="A286" s="3638"/>
      <c r="B286" s="3521"/>
      <c r="C286" s="5459"/>
      <c r="D286" s="5474" t="s">
        <v>6521</v>
      </c>
      <c r="E286" s="5457"/>
      <c r="F286" s="5475">
        <v>5</v>
      </c>
      <c r="G286" s="5476"/>
      <c r="H286" s="4093"/>
      <c r="I286" s="4112"/>
      <c r="J286" s="4432"/>
    </row>
    <row r="287" spans="1:21" s="52" customFormat="1" ht="13.5" customHeight="1">
      <c r="A287" s="3525"/>
      <c r="B287" s="3536"/>
      <c r="C287" s="3536"/>
      <c r="D287" s="3548" t="s">
        <v>10451</v>
      </c>
      <c r="E287" s="3536"/>
      <c r="F287" s="3530"/>
      <c r="G287" s="3542"/>
      <c r="H287" s="3905"/>
      <c r="I287" s="3926"/>
      <c r="J287" s="4432"/>
      <c r="K287" s="5503"/>
    </row>
    <row r="288" spans="1:21" s="1061" customFormat="1" ht="13.5" customHeight="1">
      <c r="A288" s="3638"/>
      <c r="B288" s="3521"/>
      <c r="C288" s="5459"/>
      <c r="D288" s="5474" t="s">
        <v>6520</v>
      </c>
      <c r="E288" s="5457"/>
      <c r="F288" s="5475">
        <v>5</v>
      </c>
      <c r="G288" s="5476"/>
      <c r="H288" s="4093"/>
      <c r="I288" s="4112"/>
      <c r="J288" s="4432"/>
    </row>
    <row r="289" spans="1:257" s="1061" customFormat="1" ht="13.5" customHeight="1">
      <c r="A289" s="3638"/>
      <c r="B289" s="3521"/>
      <c r="C289" s="5459"/>
      <c r="D289" s="5474" t="s">
        <v>6521</v>
      </c>
      <c r="E289" s="5457"/>
      <c r="F289" s="5475">
        <v>5</v>
      </c>
      <c r="G289" s="5476"/>
      <c r="H289" s="4093"/>
      <c r="I289" s="4112"/>
      <c r="J289" s="4432"/>
    </row>
    <row r="290" spans="1:257" s="52" customFormat="1" ht="13.5" customHeight="1">
      <c r="A290" s="3525"/>
      <c r="B290" s="3536"/>
      <c r="C290" s="3536"/>
      <c r="D290" s="3548" t="s">
        <v>10453</v>
      </c>
      <c r="E290" s="3536"/>
      <c r="F290" s="3530"/>
      <c r="G290" s="3542"/>
      <c r="H290" s="3905"/>
      <c r="I290" s="3926"/>
      <c r="J290" s="4432"/>
      <c r="K290" s="5503"/>
    </row>
    <row r="291" spans="1:257" s="1061" customFormat="1" ht="13.5" customHeight="1">
      <c r="A291" s="3638"/>
      <c r="B291" s="3521"/>
      <c r="C291" s="5459"/>
      <c r="D291" s="5474" t="s">
        <v>6520</v>
      </c>
      <c r="E291" s="5457"/>
      <c r="F291" s="5475">
        <v>3</v>
      </c>
      <c r="G291" s="5476"/>
      <c r="H291" s="4093"/>
      <c r="I291" s="4112"/>
      <c r="J291" s="4432"/>
    </row>
    <row r="292" spans="1:257" s="1061" customFormat="1" ht="13.5" customHeight="1">
      <c r="A292" s="3638"/>
      <c r="B292" s="3521"/>
      <c r="C292" s="5459"/>
      <c r="D292" s="5474" t="s">
        <v>6521</v>
      </c>
      <c r="E292" s="5457"/>
      <c r="F292" s="5475">
        <v>3</v>
      </c>
      <c r="G292" s="5476"/>
      <c r="H292" s="4093"/>
      <c r="I292" s="4112"/>
      <c r="J292" s="4432"/>
    </row>
    <row r="293" spans="1:257" s="333" customFormat="1" ht="54" customHeight="1">
      <c r="A293" s="5462"/>
      <c r="B293" s="5463"/>
      <c r="C293" s="5464"/>
      <c r="D293" s="5002" t="s">
        <v>10454</v>
      </c>
      <c r="E293" s="5423"/>
      <c r="F293" s="5466"/>
      <c r="G293" s="5467"/>
      <c r="H293" s="4091"/>
      <c r="I293" s="4110"/>
      <c r="J293" s="4452"/>
      <c r="K293" s="469"/>
      <c r="L293" s="470"/>
      <c r="M293" s="471"/>
      <c r="N293" s="699"/>
    </row>
    <row r="294" spans="1:257" s="1061" customFormat="1" ht="13.5" customHeight="1">
      <c r="A294" s="5327">
        <v>76</v>
      </c>
      <c r="B294" s="5477">
        <v>742</v>
      </c>
      <c r="C294" s="3536" t="s">
        <v>7523</v>
      </c>
      <c r="D294" s="3046" t="s">
        <v>10479</v>
      </c>
      <c r="E294" s="3046" t="s">
        <v>23</v>
      </c>
      <c r="F294" s="3527">
        <f>ROUND(SUM(F295),3)</f>
        <v>1</v>
      </c>
      <c r="G294" s="3048"/>
      <c r="H294" s="3904"/>
      <c r="I294" s="3821">
        <f>ROUND(F294*G294,2)</f>
        <v>0</v>
      </c>
      <c r="J294" s="3049" t="s">
        <v>60</v>
      </c>
    </row>
    <row r="295" spans="1:257" s="2595" customFormat="1" ht="13.5" customHeight="1">
      <c r="A295" s="3567"/>
      <c r="B295" s="3558"/>
      <c r="C295" s="3558"/>
      <c r="D295" s="3548" t="s">
        <v>10480</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10481</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10652</v>
      </c>
      <c r="D297" s="4358" t="s">
        <v>7524</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8431</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6533</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10541</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10542</v>
      </c>
      <c r="E301" s="4355"/>
      <c r="F301" s="4357"/>
      <c r="G301" s="5248"/>
      <c r="H301" s="4066"/>
      <c r="I301" s="4114"/>
      <c r="J301" s="4455"/>
      <c r="K301" s="4600"/>
    </row>
    <row r="302" spans="1:257" s="3595" customFormat="1" ht="13.5" customHeight="1">
      <c r="A302" s="5424">
        <v>78</v>
      </c>
      <c r="B302" s="5425">
        <v>742</v>
      </c>
      <c r="C302" s="5418">
        <v>998742203</v>
      </c>
      <c r="D302" s="5426" t="s">
        <v>7409</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7410</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7411</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915" t="s">
        <v>99</v>
      </c>
      <c r="B308" s="5916"/>
      <c r="C308" s="5917"/>
      <c r="D308" s="2568" t="s">
        <v>10505</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915" t="s">
        <v>99</v>
      </c>
      <c r="B309" s="5916"/>
      <c r="C309" s="5917"/>
      <c r="D309" s="2568" t="s">
        <v>10507</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814" t="s">
        <v>7526</v>
      </c>
      <c r="B312" s="5814"/>
      <c r="C312" s="5814"/>
      <c r="D312" s="5814"/>
      <c r="E312" s="5814"/>
      <c r="F312" s="5814"/>
      <c r="G312" s="5814"/>
      <c r="H312" s="2575"/>
      <c r="I312" s="2575"/>
      <c r="J312" s="1406"/>
    </row>
    <row r="313" spans="1:63" s="1061" customFormat="1" ht="107.25" customHeight="1">
      <c r="A313" s="5814" t="s">
        <v>26</v>
      </c>
      <c r="B313" s="5814"/>
      <c r="C313" s="5814"/>
      <c r="D313" s="5814"/>
      <c r="E313" s="5814"/>
      <c r="F313" s="5814"/>
      <c r="G313" s="5814"/>
      <c r="H313" s="2575"/>
      <c r="I313" s="2575"/>
      <c r="J313" s="48"/>
      <c r="M313" s="2535"/>
    </row>
    <row r="314" spans="1:63" s="1061" customFormat="1" ht="13.5" customHeight="1">
      <c r="A314" s="5814" t="s">
        <v>27</v>
      </c>
      <c r="B314" s="5814"/>
      <c r="C314" s="5814"/>
      <c r="D314" s="5814"/>
      <c r="E314" s="5814"/>
      <c r="F314" s="5814"/>
      <c r="G314" s="5814"/>
      <c r="H314" s="2576"/>
      <c r="I314" s="2576"/>
      <c r="J314" s="318"/>
    </row>
    <row r="315" spans="1:63" s="1061" customFormat="1" ht="13.5" customHeight="1">
      <c r="A315" s="5814" t="s">
        <v>28</v>
      </c>
      <c r="B315" s="5814"/>
      <c r="C315" s="5814"/>
      <c r="D315" s="5814"/>
      <c r="E315" s="5814"/>
      <c r="F315" s="5814"/>
      <c r="G315" s="5814"/>
      <c r="H315" s="2576"/>
      <c r="I315" s="2576"/>
      <c r="J315" s="318"/>
    </row>
    <row r="316" spans="1:63" s="52" customFormat="1" ht="40.5" customHeight="1">
      <c r="A316" s="5816" t="s">
        <v>61</v>
      </c>
      <c r="B316" s="5816"/>
      <c r="C316" s="5816"/>
      <c r="D316" s="5816"/>
      <c r="E316" s="5816"/>
      <c r="F316" s="5816"/>
      <c r="G316" s="5816"/>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913" t="s">
        <v>112</v>
      </c>
      <c r="B2" s="5913"/>
      <c r="C2" s="5913"/>
      <c r="D2" s="5913"/>
      <c r="E2" s="5913"/>
      <c r="F2" s="5913"/>
      <c r="G2" s="5913"/>
      <c r="H2" s="5913"/>
      <c r="I2" s="5913"/>
      <c r="J2" s="4722"/>
    </row>
    <row r="3" spans="1:19" s="52" customFormat="1" ht="13.5" customHeight="1">
      <c r="A3" s="5922" t="s">
        <v>7385</v>
      </c>
      <c r="B3" s="5922"/>
      <c r="C3" s="5922"/>
      <c r="D3" s="5922"/>
      <c r="E3" s="5922"/>
      <c r="F3" s="5922"/>
      <c r="G3" s="5922"/>
      <c r="H3" s="5922"/>
      <c r="I3" s="5922"/>
    </row>
    <row r="4" spans="1:19" s="52" customFormat="1" ht="13.5" customHeight="1">
      <c r="A4" s="642" t="s">
        <v>7527</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10491</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7528</v>
      </c>
      <c r="E9" s="3051"/>
      <c r="F9" s="3054"/>
      <c r="G9" s="3594"/>
      <c r="H9" s="3895">
        <f>SUM(H10:H179)</f>
        <v>0</v>
      </c>
      <c r="I9" s="3563"/>
      <c r="K9" s="4602"/>
      <c r="L9" s="4602"/>
      <c r="M9" s="4602"/>
      <c r="N9" s="4602"/>
      <c r="O9" s="4602"/>
      <c r="P9" s="4602"/>
    </row>
    <row r="10" spans="1:19" s="2549" customFormat="1" ht="13.5" customHeight="1">
      <c r="A10" s="3604">
        <v>1</v>
      </c>
      <c r="B10" s="3605">
        <v>742</v>
      </c>
      <c r="C10" s="3046" t="s">
        <v>7529</v>
      </c>
      <c r="D10" s="3046" t="s">
        <v>7530</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7531</v>
      </c>
      <c r="E11" s="3610"/>
      <c r="F11" s="3611"/>
      <c r="G11" s="3048"/>
      <c r="H11" s="3897"/>
      <c r="I11" s="3049"/>
      <c r="J11" s="2582"/>
      <c r="K11" s="1607"/>
      <c r="M11" s="3665"/>
      <c r="N11" s="3666"/>
      <c r="O11" s="2549"/>
      <c r="P11" s="2549"/>
      <c r="Q11" s="3662"/>
    </row>
    <row r="12" spans="1:19" s="1061" customFormat="1" ht="13.5" customHeight="1">
      <c r="A12" s="3608"/>
      <c r="B12" s="3046"/>
      <c r="C12" s="3046"/>
      <c r="D12" s="3609" t="s">
        <v>6519</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6520</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6521</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7532</v>
      </c>
      <c r="E15" s="3614"/>
      <c r="F15" s="3047"/>
      <c r="G15" s="3615"/>
      <c r="H15" s="3898"/>
      <c r="I15" s="3614"/>
      <c r="Q15" s="3662"/>
      <c r="R15" s="3664"/>
    </row>
    <row r="16" spans="1:19" s="2549" customFormat="1" ht="13.5" customHeight="1">
      <c r="A16" s="3604"/>
      <c r="B16" s="3612"/>
      <c r="C16" s="3612"/>
      <c r="D16" s="3044" t="s">
        <v>7533</v>
      </c>
      <c r="E16" s="3614"/>
      <c r="F16" s="3047"/>
      <c r="G16" s="3615"/>
      <c r="H16" s="3898"/>
      <c r="I16" s="3049"/>
      <c r="Q16" s="3662"/>
      <c r="R16" s="3664"/>
    </row>
    <row r="17" spans="1:19" s="2549" customFormat="1" ht="13.5" customHeight="1">
      <c r="A17" s="3616" t="s">
        <v>134</v>
      </c>
      <c r="B17" s="3605">
        <v>742</v>
      </c>
      <c r="C17" s="3046" t="s">
        <v>7534</v>
      </c>
      <c r="D17" s="3046" t="s">
        <v>7535</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7536</v>
      </c>
      <c r="E18" s="3610"/>
      <c r="F18" s="3611"/>
      <c r="G18" s="3048"/>
      <c r="H18" s="3897"/>
      <c r="I18" s="3049"/>
      <c r="J18" s="2583"/>
      <c r="K18" s="1607"/>
      <c r="M18" s="3665"/>
      <c r="N18" s="3666"/>
      <c r="O18" s="2549"/>
      <c r="P18" s="2549"/>
      <c r="Q18" s="3662"/>
    </row>
    <row r="19" spans="1:19" s="1061" customFormat="1" ht="13.5" customHeight="1">
      <c r="A19" s="3617"/>
      <c r="B19" s="3046"/>
      <c r="C19" s="3046"/>
      <c r="D19" s="3609" t="s">
        <v>6519</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6520</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6521</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7537</v>
      </c>
      <c r="E22" s="3614"/>
      <c r="F22" s="3047"/>
      <c r="G22" s="3615"/>
      <c r="H22" s="3898"/>
      <c r="I22" s="3614"/>
      <c r="Q22" s="3662"/>
      <c r="R22" s="3664"/>
    </row>
    <row r="23" spans="1:19" s="2549" customFormat="1" ht="13.5" customHeight="1">
      <c r="A23" s="3616" t="s">
        <v>854</v>
      </c>
      <c r="B23" s="3605">
        <v>742</v>
      </c>
      <c r="C23" s="3046" t="s">
        <v>7538</v>
      </c>
      <c r="D23" s="3046" t="s">
        <v>7539</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7540</v>
      </c>
      <c r="E24" s="3610"/>
      <c r="F24" s="3611"/>
      <c r="G24" s="3048"/>
      <c r="H24" s="3897"/>
      <c r="I24" s="3049"/>
      <c r="J24" s="2583"/>
      <c r="K24" s="1607"/>
      <c r="M24" s="3665"/>
      <c r="N24" s="3666"/>
      <c r="O24" s="2549"/>
      <c r="P24" s="2549"/>
      <c r="Q24" s="3662"/>
    </row>
    <row r="25" spans="1:19" s="1061" customFormat="1" ht="13.5" customHeight="1">
      <c r="A25" s="3617"/>
      <c r="B25" s="3046"/>
      <c r="C25" s="3046"/>
      <c r="D25" s="3609" t="s">
        <v>6519</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7541</v>
      </c>
      <c r="E26" s="3614"/>
      <c r="F26" s="3047"/>
      <c r="G26" s="3615"/>
      <c r="H26" s="3898"/>
      <c r="I26" s="3614"/>
      <c r="Q26" s="3662"/>
      <c r="R26" s="3664"/>
    </row>
    <row r="27" spans="1:19" s="2549" customFormat="1" ht="13.5" customHeight="1">
      <c r="A27" s="3616" t="s">
        <v>856</v>
      </c>
      <c r="B27" s="3605">
        <v>742</v>
      </c>
      <c r="C27" s="3046" t="s">
        <v>7542</v>
      </c>
      <c r="D27" s="3046" t="s">
        <v>7543</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7544</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6520</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6521</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7545</v>
      </c>
      <c r="E31" s="3614"/>
      <c r="F31" s="3047"/>
      <c r="G31" s="3615"/>
      <c r="H31" s="3898"/>
      <c r="I31" s="3614"/>
      <c r="Q31" s="3662"/>
      <c r="R31" s="3664"/>
    </row>
    <row r="32" spans="1:19" s="2549" customFormat="1" ht="13.5" customHeight="1">
      <c r="A32" s="3616" t="s">
        <v>858</v>
      </c>
      <c r="B32" s="3605">
        <v>742</v>
      </c>
      <c r="C32" s="3046" t="s">
        <v>7546</v>
      </c>
      <c r="D32" s="3046" t="s">
        <v>7547</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7548</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6520</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6521</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7549</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7550</v>
      </c>
      <c r="D37" s="3046" t="s">
        <v>7551</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7552</v>
      </c>
      <c r="E38" s="3610"/>
      <c r="F38" s="3611"/>
      <c r="G38" s="3048"/>
      <c r="H38" s="3897"/>
      <c r="I38" s="3049"/>
      <c r="J38" s="3603"/>
      <c r="K38" s="1607"/>
      <c r="M38" s="3665"/>
      <c r="N38" s="3666"/>
      <c r="O38" s="2549"/>
      <c r="P38" s="2549"/>
      <c r="Q38" s="3662"/>
    </row>
    <row r="39" spans="1:19" s="1061" customFormat="1" ht="13.5" customHeight="1">
      <c r="A39" s="3617"/>
      <c r="B39" s="3046"/>
      <c r="C39" s="3046"/>
      <c r="D39" s="3609" t="s">
        <v>6519</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6520</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6521</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7541</v>
      </c>
      <c r="E42" s="3614"/>
      <c r="F42" s="3047"/>
      <c r="G42" s="3615"/>
      <c r="H42" s="3898"/>
      <c r="I42" s="3614"/>
      <c r="Q42" s="3662"/>
      <c r="R42" s="3664"/>
    </row>
    <row r="43" spans="1:19" s="2549" customFormat="1" ht="13.5" customHeight="1">
      <c r="A43" s="3616" t="s">
        <v>2097</v>
      </c>
      <c r="B43" s="3605">
        <v>742</v>
      </c>
      <c r="C43" s="3046" t="s">
        <v>7553</v>
      </c>
      <c r="D43" s="3046" t="s">
        <v>7554</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7555</v>
      </c>
      <c r="E44" s="3610"/>
      <c r="F44" s="3611"/>
      <c r="G44" s="3048"/>
      <c r="H44" s="3897"/>
      <c r="I44" s="3049"/>
      <c r="J44" s="2583"/>
      <c r="K44" s="1607"/>
      <c r="M44" s="3665"/>
      <c r="N44" s="3666"/>
      <c r="O44" s="2549"/>
      <c r="P44" s="2549"/>
      <c r="Q44" s="3662"/>
    </row>
    <row r="45" spans="1:19" s="1061" customFormat="1" ht="13.5" customHeight="1">
      <c r="A45" s="3617"/>
      <c r="B45" s="3046"/>
      <c r="C45" s="3046"/>
      <c r="D45" s="3609" t="s">
        <v>6519</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7549</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7556</v>
      </c>
      <c r="D47" s="3046" t="s">
        <v>7557</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7558</v>
      </c>
      <c r="E48" s="3610"/>
      <c r="F48" s="3611"/>
      <c r="G48" s="3048"/>
      <c r="H48" s="3897"/>
      <c r="I48" s="3049"/>
      <c r="J48" s="2583"/>
      <c r="K48" s="1607"/>
      <c r="M48" s="3665"/>
      <c r="N48" s="3666"/>
      <c r="O48" s="2549"/>
      <c r="P48" s="2549"/>
      <c r="Q48" s="3662"/>
    </row>
    <row r="49" spans="1:19" s="1061" customFormat="1" ht="13.5" customHeight="1">
      <c r="A49" s="3617"/>
      <c r="B49" s="3046"/>
      <c r="C49" s="3046"/>
      <c r="D49" s="3609" t="s">
        <v>6519</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6520</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6521</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7549</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7559</v>
      </c>
      <c r="D53" s="3046" t="s">
        <v>7560</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7561</v>
      </c>
      <c r="E54" s="3610"/>
      <c r="F54" s="3611"/>
      <c r="G54" s="3048"/>
      <c r="H54" s="3897"/>
      <c r="I54" s="3049"/>
      <c r="J54" s="2583"/>
      <c r="K54" s="1607"/>
      <c r="M54" s="3665"/>
      <c r="N54" s="3666"/>
      <c r="O54" s="2549"/>
      <c r="P54" s="2549"/>
      <c r="Q54" s="3662"/>
    </row>
    <row r="55" spans="1:19" s="1061" customFormat="1" ht="13.5" customHeight="1">
      <c r="A55" s="3617"/>
      <c r="B55" s="3046"/>
      <c r="C55" s="3046"/>
      <c r="D55" s="3609" t="s">
        <v>6519</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6520</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6521</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7549</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7562</v>
      </c>
      <c r="D59" s="3046" t="s">
        <v>7563</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7564</v>
      </c>
      <c r="E60" s="3610"/>
      <c r="F60" s="3611"/>
      <c r="G60" s="3048"/>
      <c r="H60" s="3897"/>
      <c r="I60" s="3049"/>
      <c r="J60" s="2583"/>
      <c r="K60" s="1607"/>
      <c r="M60" s="3665"/>
      <c r="N60" s="3666"/>
      <c r="O60" s="2549"/>
      <c r="P60" s="2549"/>
      <c r="Q60" s="3662"/>
    </row>
    <row r="61" spans="1:19" s="1061" customFormat="1" ht="13.5" customHeight="1">
      <c r="A61" s="3617"/>
      <c r="B61" s="3046"/>
      <c r="C61" s="3046"/>
      <c r="D61" s="3609" t="s">
        <v>6519</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6520</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6521</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7549</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7565</v>
      </c>
      <c r="D65" s="3046" t="s">
        <v>7566</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7567</v>
      </c>
      <c r="E66" s="3610"/>
      <c r="F66" s="3611"/>
      <c r="G66" s="3048"/>
      <c r="H66" s="3897"/>
      <c r="I66" s="3049"/>
      <c r="J66" s="2583"/>
      <c r="K66" s="1607"/>
      <c r="M66" s="3665"/>
      <c r="N66" s="3666"/>
      <c r="O66" s="2549"/>
      <c r="P66" s="2549"/>
      <c r="Q66" s="3662"/>
    </row>
    <row r="67" spans="1:19" s="1061" customFormat="1" ht="13.5" customHeight="1">
      <c r="A67" s="3617"/>
      <c r="B67" s="3046"/>
      <c r="C67" s="3046"/>
      <c r="D67" s="3609" t="s">
        <v>6519</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6520</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6521</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7549</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7568</v>
      </c>
      <c r="D71" s="3046" t="s">
        <v>7569</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7570</v>
      </c>
      <c r="E72" s="3610"/>
      <c r="F72" s="3611"/>
      <c r="G72" s="3048"/>
      <c r="H72" s="3897"/>
      <c r="I72" s="3049"/>
      <c r="J72" s="2583"/>
      <c r="K72" s="1607"/>
      <c r="M72" s="3665"/>
      <c r="N72" s="3666"/>
      <c r="O72" s="2549"/>
      <c r="P72" s="2549"/>
      <c r="Q72" s="3662"/>
    </row>
    <row r="73" spans="1:19" s="1061" customFormat="1" ht="13.5" customHeight="1">
      <c r="A73" s="3617"/>
      <c r="B73" s="3046"/>
      <c r="C73" s="3046"/>
      <c r="D73" s="3609" t="s">
        <v>6519</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6520</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6521</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7549</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7571</v>
      </c>
      <c r="D77" s="3046" t="s">
        <v>7572</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7573</v>
      </c>
      <c r="E78" s="3610"/>
      <c r="F78" s="3611"/>
      <c r="G78" s="3048"/>
      <c r="H78" s="3897"/>
      <c r="I78" s="3049"/>
      <c r="J78" s="2583"/>
      <c r="K78" s="1607"/>
      <c r="M78" s="3665"/>
      <c r="N78" s="3666"/>
      <c r="O78" s="2549"/>
      <c r="P78" s="2549"/>
      <c r="Q78" s="3662"/>
    </row>
    <row r="79" spans="1:19" s="1061" customFormat="1" ht="13.5" customHeight="1">
      <c r="A79" s="3617"/>
      <c r="B79" s="3046"/>
      <c r="C79" s="3046"/>
      <c r="D79" s="3609" t="s">
        <v>6519</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6520</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6521</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7549</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7574</v>
      </c>
      <c r="D83" s="3046" t="s">
        <v>7575</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7576</v>
      </c>
      <c r="E84" s="3610"/>
      <c r="F84" s="3611"/>
      <c r="G84" s="3048"/>
      <c r="H84" s="3897"/>
      <c r="I84" s="3049"/>
      <c r="J84" s="2583"/>
      <c r="K84" s="1607"/>
      <c r="M84" s="3665"/>
      <c r="N84" s="3666"/>
      <c r="O84" s="2549"/>
      <c r="P84" s="2549"/>
      <c r="Q84" s="3662"/>
    </row>
    <row r="85" spans="1:19" s="1061" customFormat="1" ht="13.5" customHeight="1">
      <c r="A85" s="3617"/>
      <c r="B85" s="3046"/>
      <c r="C85" s="3046"/>
      <c r="D85" s="3609" t="s">
        <v>6519</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6520</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6521</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7549</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7577</v>
      </c>
      <c r="D89" s="3046" t="s">
        <v>7578</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7579</v>
      </c>
      <c r="E90" s="3610"/>
      <c r="F90" s="3611"/>
      <c r="G90" s="3048"/>
      <c r="H90" s="3897"/>
      <c r="J90" s="3049"/>
      <c r="K90" s="1607"/>
      <c r="M90" s="3665"/>
      <c r="N90" s="3666"/>
      <c r="O90" s="2549"/>
      <c r="P90" s="2549"/>
      <c r="Q90" s="3662"/>
    </row>
    <row r="91" spans="1:19" s="1061" customFormat="1" ht="13.5" customHeight="1">
      <c r="A91" s="3617"/>
      <c r="B91" s="3046"/>
      <c r="C91" s="3046"/>
      <c r="D91" s="3609" t="s">
        <v>6519</v>
      </c>
      <c r="E91" s="3610"/>
      <c r="F91" s="3611">
        <v>1</v>
      </c>
      <c r="G91" s="3048"/>
      <c r="H91" s="3897"/>
      <c r="J91" s="2583"/>
      <c r="K91" s="1607"/>
      <c r="M91" s="3665"/>
      <c r="N91" s="3666"/>
      <c r="O91" s="2549"/>
      <c r="P91" s="2549"/>
      <c r="Q91" s="3662"/>
    </row>
    <row r="92" spans="1:19" s="1061" customFormat="1" ht="13.5" customHeight="1">
      <c r="A92" s="3617"/>
      <c r="B92" s="3046"/>
      <c r="C92" s="3046"/>
      <c r="D92" s="3609" t="s">
        <v>7549</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7580</v>
      </c>
      <c r="D93" s="3046" t="s">
        <v>7581</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7582</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6520</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7549</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7583</v>
      </c>
      <c r="D97" s="3046" t="s">
        <v>7584</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7585</v>
      </c>
      <c r="E98" s="3610"/>
      <c r="F98" s="3611"/>
      <c r="G98" s="3048"/>
      <c r="H98" s="3897"/>
      <c r="I98" s="3049"/>
      <c r="J98" s="2583"/>
      <c r="K98" s="1607"/>
      <c r="M98" s="3665"/>
      <c r="N98" s="3666"/>
      <c r="O98" s="2549"/>
      <c r="P98" s="2549"/>
      <c r="Q98" s="3662"/>
    </row>
    <row r="99" spans="1:19" s="1061" customFormat="1" ht="13.5" customHeight="1">
      <c r="A99" s="3617"/>
      <c r="B99" s="3046"/>
      <c r="C99" s="3046"/>
      <c r="D99" s="3609" t="s">
        <v>6519</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6520</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6521</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7586</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7549</v>
      </c>
      <c r="E103" s="3614"/>
      <c r="F103" s="3047"/>
      <c r="G103" s="3615"/>
      <c r="H103" s="3898"/>
      <c r="I103" s="3614"/>
      <c r="J103" s="3663"/>
      <c r="Q103" s="3662"/>
      <c r="R103" s="3664"/>
    </row>
    <row r="104" spans="1:19" s="2549" customFormat="1" ht="13.5" customHeight="1">
      <c r="A104" s="3616" t="s">
        <v>2475</v>
      </c>
      <c r="B104" s="3605">
        <v>742</v>
      </c>
      <c r="C104" s="3046" t="s">
        <v>7587</v>
      </c>
      <c r="D104" s="3046" t="s">
        <v>7588</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7589</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6519</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6520</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6521</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7590</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7549</v>
      </c>
      <c r="E110" s="3614"/>
      <c r="F110" s="3047"/>
      <c r="G110" s="3615"/>
      <c r="H110" s="3898"/>
      <c r="I110" s="3614"/>
      <c r="Q110" s="3662"/>
      <c r="R110" s="3664"/>
    </row>
    <row r="111" spans="1:19" s="2549" customFormat="1" ht="13.5" customHeight="1">
      <c r="A111" s="3616" t="s">
        <v>1846</v>
      </c>
      <c r="B111" s="3605">
        <v>742</v>
      </c>
      <c r="C111" s="3046" t="s">
        <v>7591</v>
      </c>
      <c r="D111" s="3046" t="s">
        <v>7592</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7593</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6519</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6520</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6521</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7537</v>
      </c>
      <c r="E116" s="3614"/>
      <c r="F116" s="3047"/>
      <c r="G116" s="3615"/>
      <c r="H116" s="3898"/>
      <c r="I116" s="3614"/>
      <c r="Q116" s="3662"/>
      <c r="R116" s="3664"/>
    </row>
    <row r="117" spans="1:19" s="2549" customFormat="1" ht="13.5" customHeight="1">
      <c r="A117" s="3616" t="s">
        <v>2272</v>
      </c>
      <c r="B117" s="3605">
        <v>742</v>
      </c>
      <c r="C117" s="3046" t="s">
        <v>7594</v>
      </c>
      <c r="D117" s="3046" t="s">
        <v>7595</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7596</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6519</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6520</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6521</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7537</v>
      </c>
      <c r="E122" s="3614"/>
      <c r="F122" s="3047"/>
      <c r="G122" s="3615"/>
      <c r="H122" s="3898"/>
      <c r="I122" s="3614"/>
      <c r="Q122" s="3662"/>
      <c r="R122" s="3664"/>
    </row>
    <row r="123" spans="1:19" s="2549" customFormat="1" ht="13.5" customHeight="1">
      <c r="A123" s="3616" t="s">
        <v>989</v>
      </c>
      <c r="B123" s="3605">
        <v>742</v>
      </c>
      <c r="C123" s="3046" t="s">
        <v>7597</v>
      </c>
      <c r="D123" s="3046" t="s">
        <v>7598</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7599</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6519</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6520</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6521</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7549</v>
      </c>
      <c r="E128" s="3614"/>
      <c r="F128" s="3047"/>
      <c r="G128" s="3615"/>
      <c r="H128" s="3898"/>
      <c r="I128" s="3614"/>
      <c r="Q128" s="3662"/>
      <c r="R128" s="3664"/>
    </row>
    <row r="129" spans="1:19" s="2549" customFormat="1" ht="13.5" customHeight="1">
      <c r="A129" s="3616" t="s">
        <v>2917</v>
      </c>
      <c r="B129" s="3605">
        <v>742</v>
      </c>
      <c r="C129" s="3046" t="s">
        <v>7600</v>
      </c>
      <c r="D129" s="3046" t="s">
        <v>7601</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7602</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6519</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6520</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6521</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7549</v>
      </c>
      <c r="E134" s="3614"/>
      <c r="F134" s="3047"/>
      <c r="G134" s="3615"/>
      <c r="H134" s="3898"/>
      <c r="I134" s="3614"/>
      <c r="Q134" s="3662"/>
      <c r="R134" s="3664"/>
    </row>
    <row r="135" spans="1:19" s="2549" customFormat="1" ht="13.5" customHeight="1">
      <c r="A135" s="3616" t="s">
        <v>1220</v>
      </c>
      <c r="B135" s="3605">
        <v>742</v>
      </c>
      <c r="C135" s="3046" t="s">
        <v>7603</v>
      </c>
      <c r="D135" s="3046" t="s">
        <v>11574</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11573</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7609</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11600</v>
      </c>
      <c r="E138" s="3614"/>
      <c r="F138" s="3047"/>
      <c r="G138" s="3615"/>
      <c r="H138" s="3896"/>
      <c r="I138" s="3614"/>
      <c r="Q138" s="3662"/>
      <c r="R138" s="3664"/>
    </row>
    <row r="139" spans="1:19" s="2549" customFormat="1" ht="13.5" customHeight="1">
      <c r="A139" s="3616" t="s">
        <v>2358</v>
      </c>
      <c r="B139" s="3605">
        <v>742</v>
      </c>
      <c r="C139" s="3046" t="s">
        <v>7606</v>
      </c>
      <c r="D139" s="3046" t="s">
        <v>7604</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7605</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6519</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7549</v>
      </c>
      <c r="E142" s="3614"/>
      <c r="F142" s="3047"/>
      <c r="G142" s="3615"/>
      <c r="H142" s="3898"/>
      <c r="I142" s="3614"/>
      <c r="Q142" s="3662"/>
      <c r="R142" s="3664"/>
    </row>
    <row r="143" spans="1:19" s="2549" customFormat="1" ht="13.5" customHeight="1">
      <c r="A143" s="3616" t="s">
        <v>2073</v>
      </c>
      <c r="B143" s="3605">
        <v>742</v>
      </c>
      <c r="C143" s="3046" t="s">
        <v>7610</v>
      </c>
      <c r="D143" s="3046" t="s">
        <v>7607</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7608</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7609</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7549</v>
      </c>
      <c r="E146" s="3614"/>
      <c r="F146" s="3047"/>
      <c r="G146" s="3615"/>
      <c r="H146" s="3898"/>
      <c r="I146" s="3614"/>
      <c r="J146" s="3639"/>
      <c r="Q146" s="3662"/>
      <c r="R146" s="3664"/>
    </row>
    <row r="147" spans="1:19" s="2549" customFormat="1" ht="13.5" customHeight="1">
      <c r="A147" s="3616" t="s">
        <v>2522</v>
      </c>
      <c r="B147" s="3605">
        <v>742</v>
      </c>
      <c r="C147" s="3046" t="s">
        <v>7613</v>
      </c>
      <c r="D147" s="3046" t="s">
        <v>7611</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7612</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7609</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7549</v>
      </c>
      <c r="E150" s="3614"/>
      <c r="F150" s="3047"/>
      <c r="G150" s="3615"/>
      <c r="H150" s="3898"/>
      <c r="I150" s="3614"/>
      <c r="Q150" s="3662"/>
      <c r="R150" s="3664"/>
    </row>
    <row r="151" spans="1:19" s="2549" customFormat="1" ht="13.5" customHeight="1">
      <c r="A151" s="3616" t="s">
        <v>2527</v>
      </c>
      <c r="B151" s="3605">
        <v>742</v>
      </c>
      <c r="C151" s="3046" t="s">
        <v>7616</v>
      </c>
      <c r="D151" s="3046" t="s">
        <v>7614</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7615</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7609</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7549</v>
      </c>
      <c r="E154" s="3614"/>
      <c r="F154" s="3047"/>
      <c r="G154" s="3615"/>
      <c r="H154" s="3898"/>
      <c r="I154" s="3614"/>
      <c r="Q154" s="3662"/>
      <c r="R154" s="3664"/>
    </row>
    <row r="155" spans="1:19" s="2549" customFormat="1" ht="13.5" customHeight="1">
      <c r="A155" s="3616" t="s">
        <v>637</v>
      </c>
      <c r="B155" s="3605">
        <v>742</v>
      </c>
      <c r="C155" s="3046" t="s">
        <v>7620</v>
      </c>
      <c r="D155" s="3046" t="s">
        <v>7617</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7618</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7619</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7623</v>
      </c>
      <c r="D158" s="3046" t="s">
        <v>7621</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7622</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7619</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7626</v>
      </c>
      <c r="D161" s="3046" t="s">
        <v>7624</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7625</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7619</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7629</v>
      </c>
      <c r="D164" s="3046" t="s">
        <v>7627</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7628</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7619</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7633</v>
      </c>
      <c r="D167" s="3046" t="s">
        <v>7630</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7631</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7632</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7636</v>
      </c>
      <c r="D170" s="3046" t="s">
        <v>7634</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7635</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7632</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11614</v>
      </c>
      <c r="D173" s="3046" t="s">
        <v>7637</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7638</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7632</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7409</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7410</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7411</v>
      </c>
      <c r="E179" s="3599"/>
      <c r="F179" s="3600"/>
      <c r="G179" s="3597"/>
      <c r="H179" s="3899"/>
      <c r="I179" s="3601"/>
      <c r="J179" s="4731"/>
      <c r="K179" s="2290"/>
    </row>
    <row r="180" spans="1:19" s="1061" customFormat="1" ht="27" customHeight="1">
      <c r="A180" s="3629"/>
      <c r="B180" s="3051"/>
      <c r="C180" s="3602">
        <v>742</v>
      </c>
      <c r="D180" s="3602" t="s">
        <v>7639</v>
      </c>
      <c r="E180" s="3630"/>
      <c r="F180" s="3631"/>
      <c r="G180" s="3632"/>
      <c r="H180" s="3900">
        <f>SUM(H181:H188)</f>
        <v>0</v>
      </c>
      <c r="I180" s="3563"/>
      <c r="L180" s="4599"/>
    </row>
    <row r="181" spans="1:19" s="3595" customFormat="1" ht="13.5" customHeight="1">
      <c r="A181" s="3616" t="s">
        <v>2583</v>
      </c>
      <c r="B181" s="3620">
        <v>742</v>
      </c>
      <c r="C181" s="3046" t="s">
        <v>7640</v>
      </c>
      <c r="D181" s="3622" t="s">
        <v>7641</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7642</v>
      </c>
      <c r="E182" s="3599"/>
      <c r="F182" s="3600">
        <v>3</v>
      </c>
      <c r="G182" s="3632"/>
      <c r="H182" s="3897"/>
      <c r="I182" s="3563"/>
      <c r="L182" s="4599"/>
    </row>
    <row r="183" spans="1:19" s="3595" customFormat="1" ht="13.5" customHeight="1">
      <c r="A183" s="3616" t="s">
        <v>685</v>
      </c>
      <c r="B183" s="3620">
        <v>742</v>
      </c>
      <c r="C183" s="3046" t="s">
        <v>7643</v>
      </c>
      <c r="D183" s="3622" t="s">
        <v>7644</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7645</v>
      </c>
      <c r="E184" s="3599"/>
      <c r="F184" s="3600">
        <v>3</v>
      </c>
      <c r="G184" s="3632"/>
      <c r="H184" s="3897"/>
      <c r="I184" s="3563"/>
      <c r="L184" s="4599"/>
    </row>
    <row r="185" spans="1:19" s="3595" customFormat="1" ht="13.5" customHeight="1">
      <c r="A185" s="3616" t="s">
        <v>2605</v>
      </c>
      <c r="B185" s="3620">
        <v>742</v>
      </c>
      <c r="C185" s="3046" t="s">
        <v>7646</v>
      </c>
      <c r="D185" s="3622" t="s">
        <v>7647</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7648</v>
      </c>
      <c r="E186" s="3599"/>
      <c r="F186" s="3600">
        <v>6</v>
      </c>
      <c r="G186" s="3632"/>
      <c r="H186" s="3897"/>
      <c r="I186" s="3563"/>
      <c r="L186" s="4599"/>
    </row>
    <row r="187" spans="1:19" s="3595" customFormat="1" ht="13.5" customHeight="1">
      <c r="A187" s="3616" t="s">
        <v>2616</v>
      </c>
      <c r="B187" s="3620">
        <v>742</v>
      </c>
      <c r="C187" s="3046" t="s">
        <v>7649</v>
      </c>
      <c r="D187" s="3622" t="s">
        <v>7650</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7651</v>
      </c>
      <c r="E188" s="3599"/>
      <c r="F188" s="3600">
        <v>600</v>
      </c>
      <c r="G188" s="3632"/>
      <c r="H188" s="3897"/>
      <c r="I188" s="3563"/>
      <c r="L188" s="4599"/>
    </row>
    <row r="189" spans="1:19" s="1061" customFormat="1" ht="27" customHeight="1">
      <c r="A189" s="3629"/>
      <c r="B189" s="3051"/>
      <c r="C189" s="3602">
        <v>742</v>
      </c>
      <c r="D189" s="3602" t="s">
        <v>7652</v>
      </c>
      <c r="E189" s="3630"/>
      <c r="F189" s="3631"/>
      <c r="G189" s="3632"/>
      <c r="H189" s="3900">
        <f>SUM(H190:H202)</f>
        <v>0</v>
      </c>
      <c r="I189" s="3563"/>
      <c r="L189" s="4599"/>
    </row>
    <row r="190" spans="1:19" s="2549" customFormat="1" ht="13.5" customHeight="1">
      <c r="A190" s="3616" t="s">
        <v>3424</v>
      </c>
      <c r="B190" s="3605">
        <v>742</v>
      </c>
      <c r="C190" s="3046" t="s">
        <v>7653</v>
      </c>
      <c r="D190" s="3046" t="s">
        <v>7654</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7655</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6519</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6520</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6521</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7656</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7657</v>
      </c>
      <c r="D196" s="3046" t="s">
        <v>7658</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7659</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7137</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7409</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7410</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7411</v>
      </c>
      <c r="E202" s="3599"/>
      <c r="F202" s="3600"/>
      <c r="G202" s="3597"/>
      <c r="H202" s="3899"/>
      <c r="I202" s="3601"/>
      <c r="J202" s="4731"/>
      <c r="K202" s="2290"/>
    </row>
    <row r="203" spans="1:19" s="1061" customFormat="1" ht="27" customHeight="1">
      <c r="A203" s="3629"/>
      <c r="B203" s="3051"/>
      <c r="C203" s="3602">
        <v>742</v>
      </c>
      <c r="D203" s="3602" t="s">
        <v>7660</v>
      </c>
      <c r="E203" s="3630"/>
      <c r="F203" s="3631"/>
      <c r="G203" s="3632"/>
      <c r="H203" s="3900">
        <f>SUM(H204:H250)</f>
        <v>0</v>
      </c>
      <c r="I203" s="3563"/>
      <c r="L203" s="4599"/>
    </row>
    <row r="204" spans="1:19" s="2549" customFormat="1" ht="13.5" customHeight="1">
      <c r="A204" s="3616" t="s">
        <v>2417</v>
      </c>
      <c r="B204" s="3605">
        <v>742</v>
      </c>
      <c r="C204" s="3046" t="s">
        <v>7661</v>
      </c>
      <c r="D204" s="3046" t="s">
        <v>7662</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7663</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7664</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7656</v>
      </c>
      <c r="E207" s="3614"/>
      <c r="F207" s="3047"/>
      <c r="G207" s="3615"/>
      <c r="H207" s="3898"/>
      <c r="I207" s="3614"/>
      <c r="Q207" s="3662"/>
      <c r="R207" s="3664"/>
    </row>
    <row r="208" spans="1:19" s="2549" customFormat="1" ht="13.5" customHeight="1">
      <c r="A208" s="3616" t="s">
        <v>1787</v>
      </c>
      <c r="B208" s="3605">
        <v>742</v>
      </c>
      <c r="C208" s="3046" t="s">
        <v>7665</v>
      </c>
      <c r="D208" s="3046" t="s">
        <v>7666</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7667</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7664</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7656</v>
      </c>
      <c r="E211" s="3614"/>
      <c r="F211" s="3047"/>
      <c r="G211" s="3615"/>
      <c r="H211" s="3898"/>
      <c r="I211" s="3614"/>
      <c r="Q211" s="3662"/>
      <c r="R211" s="3664"/>
    </row>
    <row r="212" spans="1:19" s="2549" customFormat="1" ht="13.5" customHeight="1">
      <c r="A212" s="3616" t="s">
        <v>3472</v>
      </c>
      <c r="B212" s="3605">
        <v>742</v>
      </c>
      <c r="C212" s="3046" t="s">
        <v>7668</v>
      </c>
      <c r="D212" s="3046" t="s">
        <v>7669</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7670</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6519</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6520</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6521</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7656</v>
      </c>
      <c r="E217" s="3614"/>
      <c r="F217" s="3047"/>
      <c r="G217" s="3615"/>
      <c r="H217" s="3898"/>
      <c r="I217" s="3614"/>
      <c r="Q217" s="3662"/>
      <c r="R217" s="3664"/>
    </row>
    <row r="218" spans="1:19" s="2549" customFormat="1" ht="13.5" customHeight="1">
      <c r="A218" s="3616" t="s">
        <v>2191</v>
      </c>
      <c r="B218" s="3605">
        <v>742</v>
      </c>
      <c r="C218" s="3046" t="s">
        <v>7671</v>
      </c>
      <c r="D218" s="3046" t="s">
        <v>7672</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7673</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7656</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7674</v>
      </c>
      <c r="D221" s="3046" t="s">
        <v>7675</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7676</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7656</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7677</v>
      </c>
      <c r="D224" s="3046" t="s">
        <v>7678</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7679</v>
      </c>
      <c r="E225" s="3610"/>
      <c r="F225" s="3611">
        <v>250</v>
      </c>
      <c r="G225" s="3048"/>
      <c r="H225" s="3897"/>
      <c r="I225" s="3049"/>
      <c r="J225" s="3663"/>
      <c r="K225" s="3664"/>
      <c r="Q225" s="4723"/>
    </row>
    <row r="226" spans="1:19" s="1061" customFormat="1" ht="13.5" customHeight="1">
      <c r="A226" s="3617"/>
      <c r="B226" s="3046"/>
      <c r="C226" s="3046"/>
      <c r="D226" s="3044" t="s">
        <v>7656</v>
      </c>
      <c r="E226" s="3610"/>
      <c r="F226" s="3611"/>
      <c r="G226" s="3048"/>
      <c r="H226" s="3897"/>
      <c r="I226" s="3049"/>
      <c r="L226" s="1470"/>
      <c r="Q226" s="4732"/>
    </row>
    <row r="227" spans="1:19" s="2549" customFormat="1" ht="13.5" customHeight="1">
      <c r="A227" s="3616" t="s">
        <v>2433</v>
      </c>
      <c r="B227" s="3605">
        <v>742</v>
      </c>
      <c r="C227" s="3046" t="s">
        <v>7680</v>
      </c>
      <c r="D227" s="3046" t="s">
        <v>7681</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7682</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7656</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4985</v>
      </c>
      <c r="C230" s="3046" t="s">
        <v>7683</v>
      </c>
      <c r="D230" s="3630" t="s">
        <v>7684</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7685</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7686</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7687</v>
      </c>
      <c r="D233" s="3046" t="s">
        <v>7688</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7689</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7690</v>
      </c>
      <c r="D235" s="3046" t="s">
        <v>7691</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7692</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7693</v>
      </c>
      <c r="D237" s="3046" t="s">
        <v>7694</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7695</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4985</v>
      </c>
      <c r="C239" s="3046" t="s">
        <v>7696</v>
      </c>
      <c r="D239" s="3630" t="s">
        <v>7697</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7698</v>
      </c>
      <c r="E240" s="3630"/>
      <c r="F240" s="4443">
        <v>6</v>
      </c>
      <c r="G240" s="3597"/>
      <c r="H240" s="3899"/>
      <c r="I240" s="3624"/>
      <c r="J240" s="4738"/>
      <c r="K240" s="4739"/>
    </row>
    <row r="241" spans="1:122" s="3596" customFormat="1" ht="27" customHeight="1">
      <c r="A241" s="3635"/>
      <c r="B241" s="3599"/>
      <c r="C241" s="3599"/>
      <c r="D241" s="3628" t="s">
        <v>7699</v>
      </c>
      <c r="E241" s="3599"/>
      <c r="F241" s="4443"/>
      <c r="G241" s="3597"/>
      <c r="H241" s="3899"/>
      <c r="I241" s="3601"/>
    </row>
    <row r="242" spans="1:122" s="1061" customFormat="1" ht="13.5" customHeight="1">
      <c r="A242" s="3616" t="s">
        <v>2750</v>
      </c>
      <c r="B242" s="3633" t="s">
        <v>4985</v>
      </c>
      <c r="C242" s="3046" t="s">
        <v>10558</v>
      </c>
      <c r="D242" s="4358" t="s">
        <v>7524</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8431</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6533</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10559</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10560</v>
      </c>
      <c r="E246" s="4355"/>
      <c r="F246" s="4445"/>
      <c r="G246" s="4446"/>
      <c r="H246" s="4320"/>
      <c r="I246" s="4440"/>
      <c r="J246" s="4743"/>
      <c r="K246" s="4600"/>
    </row>
    <row r="247" spans="1:122" s="3595" customFormat="1" ht="13.5" customHeight="1">
      <c r="A247" s="3616" t="s">
        <v>2756</v>
      </c>
      <c r="B247" s="3620">
        <v>742</v>
      </c>
      <c r="C247" s="3621">
        <v>998742203</v>
      </c>
      <c r="D247" s="3622" t="s">
        <v>7409</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7410</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7411</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915" t="s">
        <v>99</v>
      </c>
      <c r="B253" s="5916"/>
      <c r="C253" s="5917"/>
      <c r="D253" s="2568" t="s">
        <v>10500</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814" t="s">
        <v>7526</v>
      </c>
      <c r="B256" s="5814"/>
      <c r="C256" s="5814"/>
      <c r="D256" s="5814"/>
      <c r="E256" s="5814"/>
      <c r="F256" s="5814"/>
      <c r="G256" s="5814"/>
      <c r="H256" s="2575"/>
      <c r="I256" s="1406"/>
    </row>
    <row r="257" spans="1:12" s="1061" customFormat="1" ht="107.25" customHeight="1">
      <c r="A257" s="5814" t="s">
        <v>26</v>
      </c>
      <c r="B257" s="5814"/>
      <c r="C257" s="5814"/>
      <c r="D257" s="5814"/>
      <c r="E257" s="5814"/>
      <c r="F257" s="5814"/>
      <c r="G257" s="5814"/>
      <c r="H257" s="2575"/>
      <c r="I257" s="48"/>
      <c r="L257" s="2535"/>
    </row>
    <row r="258" spans="1:12" s="1061" customFormat="1" ht="13.5" customHeight="1">
      <c r="A258" s="5814" t="s">
        <v>27</v>
      </c>
      <c r="B258" s="5814"/>
      <c r="C258" s="5814"/>
      <c r="D258" s="5814"/>
      <c r="E258" s="5814"/>
      <c r="F258" s="5814"/>
      <c r="G258" s="5814"/>
      <c r="H258" s="2576"/>
      <c r="I258" s="318"/>
    </row>
    <row r="259" spans="1:12" s="1061" customFormat="1" ht="13.5" customHeight="1">
      <c r="A259" s="5814" t="s">
        <v>28</v>
      </c>
      <c r="B259" s="5814"/>
      <c r="C259" s="5814"/>
      <c r="D259" s="5814"/>
      <c r="E259" s="5814"/>
      <c r="F259" s="5814"/>
      <c r="G259" s="5814"/>
      <c r="H259" s="2576"/>
      <c r="I259" s="318"/>
    </row>
    <row r="260" spans="1:12" s="52" customFormat="1" ht="40.5" customHeight="1">
      <c r="A260" s="5816" t="s">
        <v>61</v>
      </c>
      <c r="B260" s="5816"/>
      <c r="C260" s="5816"/>
      <c r="D260" s="5816"/>
      <c r="E260" s="5816"/>
      <c r="F260" s="5816"/>
      <c r="G260" s="5816"/>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913" t="s">
        <v>112</v>
      </c>
      <c r="B2" s="5913"/>
      <c r="C2" s="5913"/>
      <c r="D2" s="3667"/>
      <c r="E2" s="3667"/>
      <c r="F2" s="3667"/>
      <c r="G2" s="3667"/>
      <c r="H2" s="3667"/>
      <c r="I2" s="3667"/>
    </row>
    <row r="3" spans="1:9" s="1362" customFormat="1" ht="13.5" customHeight="1">
      <c r="A3" s="5922" t="s">
        <v>2838</v>
      </c>
      <c r="B3" s="5922"/>
      <c r="C3" s="5922"/>
      <c r="D3" s="1688"/>
      <c r="E3" s="1306"/>
      <c r="F3" s="1298"/>
      <c r="G3" s="1298"/>
      <c r="H3" s="460"/>
      <c r="I3" s="460"/>
    </row>
    <row r="4" spans="1:9" ht="13.5" customHeight="1">
      <c r="A4" s="319"/>
      <c r="B4" s="319"/>
      <c r="C4" s="319"/>
    </row>
    <row r="5" spans="1:9" ht="33.200000000000003" customHeight="1">
      <c r="A5" s="645" t="s">
        <v>116</v>
      </c>
      <c r="B5" s="646" t="s">
        <v>68</v>
      </c>
      <c r="C5" s="3786" t="s">
        <v>10492</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10515</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913" t="s">
        <v>112</v>
      </c>
      <c r="B2" s="5924"/>
      <c r="C2" s="5924"/>
      <c r="D2" s="5924"/>
      <c r="E2" s="5924"/>
      <c r="F2" s="5924"/>
      <c r="G2" s="5924"/>
      <c r="H2" s="5924"/>
      <c r="I2" s="5924"/>
    </row>
    <row r="3" spans="1:37" s="485" customFormat="1" ht="13.5" customHeight="1">
      <c r="A3" s="5913" t="s">
        <v>2842</v>
      </c>
      <c r="B3" s="5925"/>
      <c r="C3" s="5925"/>
      <c r="D3" s="5925"/>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10492</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926" t="s">
        <v>99</v>
      </c>
      <c r="B234" s="5927"/>
      <c r="C234" s="5928"/>
      <c r="D234" s="1930" t="s">
        <v>10511</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923" t="s">
        <v>308</v>
      </c>
      <c r="B237" s="5923"/>
      <c r="C237" s="5923"/>
      <c r="D237" s="5923"/>
      <c r="E237" s="5923"/>
      <c r="F237" s="5923"/>
      <c r="G237" s="5923"/>
      <c r="H237" s="639"/>
      <c r="I237" s="1707"/>
    </row>
    <row r="238" spans="1:21" ht="93.75" customHeight="1">
      <c r="A238" s="5923" t="s">
        <v>26</v>
      </c>
      <c r="B238" s="5923"/>
      <c r="C238" s="5923"/>
      <c r="D238" s="5923"/>
      <c r="E238" s="5923"/>
      <c r="F238" s="5923"/>
      <c r="G238" s="5923"/>
      <c r="H238" s="639"/>
      <c r="I238" s="639"/>
    </row>
    <row r="239" spans="1:21" ht="13.5" customHeight="1">
      <c r="A239" s="5923" t="s">
        <v>27</v>
      </c>
      <c r="B239" s="5923"/>
      <c r="C239" s="5923"/>
      <c r="D239" s="5923"/>
      <c r="E239" s="5923"/>
      <c r="F239" s="5923"/>
      <c r="G239" s="5923"/>
      <c r="H239" s="640"/>
      <c r="I239" s="640"/>
    </row>
    <row r="240" spans="1:21" ht="13.5" customHeight="1">
      <c r="A240" s="5923" t="s">
        <v>28</v>
      </c>
      <c r="B240" s="5923"/>
      <c r="C240" s="5923"/>
      <c r="D240" s="5923"/>
      <c r="E240" s="5923"/>
      <c r="F240" s="5923"/>
      <c r="G240" s="5923"/>
      <c r="H240" s="640"/>
      <c r="I240" s="640"/>
    </row>
    <row r="241" spans="1:9" s="1943" customFormat="1" ht="40.5" customHeight="1">
      <c r="A241" s="5816" t="s">
        <v>61</v>
      </c>
      <c r="B241" s="5816"/>
      <c r="C241" s="5816"/>
      <c r="D241" s="5816"/>
      <c r="E241" s="5816"/>
      <c r="F241" s="5816"/>
      <c r="G241" s="5816"/>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913" t="s">
        <v>112</v>
      </c>
      <c r="B2" s="5924"/>
      <c r="C2" s="5924"/>
      <c r="D2" s="5924"/>
      <c r="E2" s="5924"/>
      <c r="F2" s="5924"/>
      <c r="G2" s="5924"/>
      <c r="H2" s="5924"/>
      <c r="I2" s="5924"/>
    </row>
    <row r="3" spans="1:256" s="485" customFormat="1" ht="13.5" customHeight="1">
      <c r="A3" s="5913" t="s">
        <v>2842</v>
      </c>
      <c r="B3" s="5925"/>
      <c r="C3" s="5925"/>
      <c r="D3" s="5925"/>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10492</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929" t="s">
        <v>3041</v>
      </c>
      <c r="H22" s="5929"/>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11732</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11732</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11732</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11732</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926" t="s">
        <v>99</v>
      </c>
      <c r="B69" s="5927"/>
      <c r="C69" s="5928"/>
      <c r="D69" s="1930" t="s">
        <v>10512</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923" t="s">
        <v>308</v>
      </c>
      <c r="B72" s="5923"/>
      <c r="C72" s="5923"/>
      <c r="D72" s="5923"/>
      <c r="E72" s="5923"/>
      <c r="F72" s="5923"/>
      <c r="G72" s="5923"/>
      <c r="H72" s="639"/>
      <c r="I72" s="1707"/>
    </row>
    <row r="73" spans="1:10" ht="93.75" customHeight="1">
      <c r="A73" s="5923" t="s">
        <v>26</v>
      </c>
      <c r="B73" s="5923"/>
      <c r="C73" s="5923"/>
      <c r="D73" s="5923"/>
      <c r="E73" s="5923"/>
      <c r="F73" s="5923"/>
      <c r="G73" s="5923"/>
      <c r="H73" s="639"/>
      <c r="I73" s="639"/>
    </row>
    <row r="74" spans="1:10" ht="13.5" customHeight="1">
      <c r="A74" s="5923" t="s">
        <v>27</v>
      </c>
      <c r="B74" s="5923"/>
      <c r="C74" s="5923"/>
      <c r="D74" s="5923"/>
      <c r="E74" s="5923"/>
      <c r="F74" s="5923"/>
      <c r="G74" s="5923"/>
      <c r="H74" s="640"/>
      <c r="I74" s="640"/>
    </row>
    <row r="75" spans="1:10" ht="13.5" customHeight="1">
      <c r="A75" s="5923" t="s">
        <v>28</v>
      </c>
      <c r="B75" s="5923"/>
      <c r="C75" s="5923"/>
      <c r="D75" s="5923"/>
      <c r="E75" s="5923"/>
      <c r="F75" s="5923"/>
      <c r="G75" s="5923"/>
      <c r="H75" s="640"/>
      <c r="I75" s="640"/>
    </row>
    <row r="76" spans="1:10" s="1943" customFormat="1" ht="40.5" customHeight="1">
      <c r="A76" s="5816" t="s">
        <v>61</v>
      </c>
      <c r="B76" s="5816"/>
      <c r="C76" s="5816"/>
      <c r="D76" s="5816"/>
      <c r="E76" s="5816"/>
      <c r="F76" s="5816"/>
      <c r="G76" s="5816"/>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913" t="s">
        <v>112</v>
      </c>
      <c r="B2" s="5924"/>
      <c r="C2" s="5924"/>
      <c r="D2" s="5924"/>
      <c r="E2" s="5924"/>
      <c r="F2" s="5924"/>
      <c r="G2" s="5924"/>
      <c r="H2" s="5924"/>
      <c r="I2" s="5924"/>
    </row>
    <row r="3" spans="1:244" s="485" customFormat="1" ht="13.5" customHeight="1">
      <c r="A3" s="5913" t="s">
        <v>2842</v>
      </c>
      <c r="B3" s="5925"/>
      <c r="C3" s="5925"/>
      <c r="D3" s="5925"/>
      <c r="F3" s="1699"/>
      <c r="J3" s="5930"/>
      <c r="K3" s="5930"/>
      <c r="L3" s="5930"/>
      <c r="M3" s="5930"/>
      <c r="N3" s="5930"/>
    </row>
    <row r="4" spans="1:244" s="485" customFormat="1" ht="13.5" customHeight="1">
      <c r="A4" s="1702" t="s">
        <v>3078</v>
      </c>
      <c r="B4" s="1698"/>
      <c r="C4" s="1698"/>
      <c r="D4" s="1698"/>
      <c r="F4" s="1699"/>
      <c r="J4" s="5930"/>
      <c r="K4" s="5930"/>
      <c r="L4" s="5930"/>
      <c r="M4" s="5930"/>
      <c r="N4" s="5930"/>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10492</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11554</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6944</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7101</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7102</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7103</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926" t="s">
        <v>99</v>
      </c>
      <c r="B118" s="5927"/>
      <c r="C118" s="5928"/>
      <c r="D118" s="1930" t="s">
        <v>10513</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923" t="s">
        <v>308</v>
      </c>
      <c r="B121" s="5923"/>
      <c r="C121" s="5923"/>
      <c r="D121" s="5923"/>
      <c r="E121" s="5923"/>
      <c r="F121" s="5923"/>
      <c r="G121" s="5923"/>
      <c r="H121" s="639"/>
      <c r="I121" s="1707"/>
    </row>
    <row r="122" spans="1:23" ht="93.75" customHeight="1">
      <c r="A122" s="5923" t="s">
        <v>26</v>
      </c>
      <c r="B122" s="5923"/>
      <c r="C122" s="5923"/>
      <c r="D122" s="5923"/>
      <c r="E122" s="5923"/>
      <c r="F122" s="5923"/>
      <c r="G122" s="5923"/>
      <c r="H122" s="639"/>
      <c r="I122" s="639"/>
    </row>
    <row r="123" spans="1:23" ht="13.5" customHeight="1">
      <c r="A123" s="5923" t="s">
        <v>27</v>
      </c>
      <c r="B123" s="5923"/>
      <c r="C123" s="5923"/>
      <c r="D123" s="5923"/>
      <c r="E123" s="5923"/>
      <c r="F123" s="5923"/>
      <c r="G123" s="5923"/>
      <c r="H123" s="640"/>
      <c r="I123" s="640"/>
    </row>
    <row r="124" spans="1:23" ht="13.5" customHeight="1">
      <c r="A124" s="5923" t="s">
        <v>28</v>
      </c>
      <c r="B124" s="5923"/>
      <c r="C124" s="5923"/>
      <c r="D124" s="5923"/>
      <c r="E124" s="5923"/>
      <c r="F124" s="5923"/>
      <c r="G124" s="5923"/>
      <c r="H124" s="640"/>
      <c r="I124" s="640"/>
    </row>
    <row r="125" spans="1:23" s="1943" customFormat="1" ht="40.5" customHeight="1">
      <c r="A125" s="5816" t="s">
        <v>61</v>
      </c>
      <c r="B125" s="5816"/>
      <c r="C125" s="5816"/>
      <c r="D125" s="5816"/>
      <c r="E125" s="5816"/>
      <c r="F125" s="5816"/>
      <c r="G125" s="5816"/>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894" t="s">
        <v>112</v>
      </c>
      <c r="B2" s="5907"/>
      <c r="C2" s="5907"/>
      <c r="D2" s="5907"/>
      <c r="E2" s="5907"/>
      <c r="F2" s="5907"/>
      <c r="G2" s="5907"/>
      <c r="H2" s="5907"/>
      <c r="I2" s="5907"/>
    </row>
    <row r="3" spans="1:256" s="907" customFormat="1" ht="12.75" customHeight="1">
      <c r="A3" s="5913" t="s">
        <v>2436</v>
      </c>
      <c r="B3" s="5913"/>
      <c r="C3" s="5913"/>
      <c r="D3" s="5913"/>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10492</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931" t="s">
        <v>2577</v>
      </c>
      <c r="H165" s="5932"/>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931" t="s">
        <v>2577</v>
      </c>
      <c r="H176" s="5932"/>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931" t="s">
        <v>2577</v>
      </c>
      <c r="H185" s="5932"/>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931" t="s">
        <v>2577</v>
      </c>
      <c r="H194" s="5932"/>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931" t="s">
        <v>2577</v>
      </c>
      <c r="H203" s="5932"/>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931" t="s">
        <v>2577</v>
      </c>
      <c r="H231" s="5932"/>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934" t="s">
        <v>99</v>
      </c>
      <c r="B428" s="5935"/>
      <c r="C428" s="5936"/>
      <c r="D428" s="1670" t="s">
        <v>10514</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814" t="s">
        <v>308</v>
      </c>
      <c r="B431" s="5937"/>
      <c r="C431" s="5937"/>
      <c r="D431" s="5937"/>
      <c r="E431" s="5937"/>
      <c r="F431" s="5937"/>
      <c r="G431" s="5937"/>
      <c r="H431" s="48"/>
    </row>
    <row r="432" spans="1:21" s="48" customFormat="1" ht="102.75" customHeight="1">
      <c r="A432" s="5814" t="s">
        <v>26</v>
      </c>
      <c r="B432" s="5938"/>
      <c r="C432" s="5938"/>
      <c r="D432" s="5938"/>
      <c r="E432" s="5938"/>
      <c r="F432" s="5938"/>
      <c r="G432" s="5938"/>
    </row>
    <row r="433" spans="1:9" s="459" customFormat="1" ht="13.5" customHeight="1">
      <c r="A433" s="5814" t="s">
        <v>27</v>
      </c>
      <c r="B433" s="5933"/>
      <c r="C433" s="5933"/>
      <c r="D433" s="5933"/>
      <c r="E433" s="5933"/>
      <c r="F433" s="5933"/>
      <c r="G433" s="5933"/>
      <c r="H433" s="318"/>
      <c r="I433" s="318"/>
    </row>
    <row r="434" spans="1:9" s="459" customFormat="1" ht="13.5" customHeight="1">
      <c r="A434" s="5814" t="s">
        <v>28</v>
      </c>
      <c r="B434" s="5933"/>
      <c r="C434" s="5933"/>
      <c r="D434" s="5933"/>
      <c r="E434" s="5933"/>
      <c r="F434" s="5933"/>
      <c r="G434" s="5933"/>
      <c r="H434" s="318"/>
      <c r="I434" s="318"/>
    </row>
    <row r="435" spans="1:9" s="1301" customFormat="1" ht="27" customHeight="1">
      <c r="A435" s="5816" t="s">
        <v>2836</v>
      </c>
      <c r="B435" s="5816"/>
      <c r="C435" s="5816"/>
      <c r="D435" s="5816"/>
      <c r="E435" s="5816"/>
      <c r="F435" s="5816"/>
      <c r="G435" s="5816"/>
      <c r="I435" s="1682"/>
    </row>
    <row r="436" spans="1:9" s="1301" customFormat="1" ht="40.5" customHeight="1">
      <c r="A436" s="5816" t="s">
        <v>61</v>
      </c>
      <c r="B436" s="5816"/>
      <c r="C436" s="5816"/>
      <c r="D436" s="5816"/>
      <c r="E436" s="5816"/>
      <c r="F436" s="5816"/>
      <c r="G436" s="5816"/>
      <c r="I436" s="1682"/>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894" t="s">
        <v>7072</v>
      </c>
      <c r="B2" s="5894" t="s">
        <v>7073</v>
      </c>
      <c r="C2" s="5894"/>
      <c r="D2" s="1688"/>
      <c r="E2" s="1306"/>
      <c r="F2" s="1298"/>
      <c r="G2" s="1298"/>
      <c r="H2" s="460"/>
      <c r="I2" s="460"/>
    </row>
    <row r="3" spans="1:9" s="1362" customFormat="1" ht="13.5" customHeight="1">
      <c r="A3" s="2424" t="s">
        <v>7074</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10492</v>
      </c>
    </row>
    <row r="6" spans="1:9" ht="12.6" customHeight="1">
      <c r="A6" s="3063">
        <v>1</v>
      </c>
      <c r="B6" s="3064">
        <v>2</v>
      </c>
      <c r="C6" s="4183">
        <v>3</v>
      </c>
    </row>
    <row r="7" spans="1:9" ht="21" customHeight="1">
      <c r="A7" s="651"/>
      <c r="B7" s="652"/>
      <c r="C7" s="4126"/>
    </row>
    <row r="8" spans="1:9" ht="13.5" customHeight="1">
      <c r="A8" s="3065">
        <v>1</v>
      </c>
      <c r="B8" s="3066" t="s">
        <v>7075</v>
      </c>
      <c r="C8" s="4184">
        <f>'D.1.4.10.3. DROBNÁ ARCH. - SKL.'!H159</f>
        <v>0</v>
      </c>
      <c r="E8" s="2310"/>
    </row>
    <row r="9" spans="1:9" ht="13.5" customHeight="1">
      <c r="A9" s="3065">
        <v>2</v>
      </c>
      <c r="B9" s="3066" t="s">
        <v>7076</v>
      </c>
      <c r="C9" s="4184">
        <f>'D.1.4.10.3. DROBNÁ ARCH. - ZÁZ.'!H306</f>
        <v>0</v>
      </c>
      <c r="E9" s="2310"/>
    </row>
    <row r="10" spans="1:9" ht="13.5" customHeight="1">
      <c r="A10" s="3065">
        <v>3</v>
      </c>
      <c r="B10" s="3066" t="s">
        <v>7077</v>
      </c>
      <c r="C10" s="4184">
        <f>'D.1.4.10.3. DROBNÁ ARCH. - KOL.'!H208</f>
        <v>0</v>
      </c>
      <c r="E10" s="2310"/>
    </row>
    <row r="11" spans="1:9" ht="21" customHeight="1">
      <c r="A11" s="3067"/>
      <c r="B11" s="3068" t="s">
        <v>10516</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65"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894" t="s">
        <v>112</v>
      </c>
      <c r="B2" s="5939"/>
      <c r="C2" s="5939"/>
      <c r="D2" s="5939"/>
      <c r="E2" s="5939"/>
      <c r="F2" s="5939"/>
      <c r="G2" s="5939"/>
      <c r="H2" s="5939"/>
      <c r="I2" s="5939"/>
    </row>
    <row r="3" spans="1:256" s="907" customFormat="1" ht="12.75" customHeight="1">
      <c r="A3" s="5913" t="s">
        <v>7074</v>
      </c>
      <c r="B3" s="5913"/>
      <c r="C3" s="5913"/>
      <c r="D3" s="5913"/>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7078</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7079</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7080</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7081</v>
      </c>
      <c r="E18" s="3092"/>
      <c r="F18" s="3094"/>
      <c r="G18" s="3095"/>
      <c r="H18" s="4031"/>
      <c r="I18" s="3096"/>
      <c r="J18" s="2432"/>
      <c r="T18" s="1292"/>
      <c r="V18" s="1292"/>
    </row>
    <row r="19" spans="1:23" s="1291" customFormat="1" ht="13.5" customHeight="1">
      <c r="A19" s="3090"/>
      <c r="B19" s="3091"/>
      <c r="C19" s="3092"/>
      <c r="D19" s="3093" t="s">
        <v>7082</v>
      </c>
      <c r="E19" s="3092"/>
      <c r="F19" s="3094">
        <f>((3.3*7.3)*0.24)*0.9</f>
        <v>5.2034400000000005</v>
      </c>
      <c r="G19" s="3095"/>
      <c r="H19" s="4031"/>
      <c r="I19" s="3096"/>
      <c r="J19" s="2433"/>
      <c r="T19" s="1292"/>
      <c r="V19" s="1292"/>
    </row>
    <row r="20" spans="1:23" s="1291" customFormat="1" ht="13.5" customHeight="1">
      <c r="A20" s="3090"/>
      <c r="B20" s="3091"/>
      <c r="C20" s="3092"/>
      <c r="D20" s="3093" t="s">
        <v>7083</v>
      </c>
      <c r="E20" s="3092"/>
      <c r="F20" s="3094">
        <f>((4.6*2+7.6*2)*(0.65*0.8))*0.9</f>
        <v>11.4192</v>
      </c>
      <c r="G20" s="3095"/>
      <c r="H20" s="4031"/>
      <c r="I20" s="3096"/>
      <c r="J20" s="2433"/>
      <c r="T20" s="1292"/>
      <c r="V20" s="1292"/>
    </row>
    <row r="21" spans="1:23" s="1291" customFormat="1" ht="13.5" customHeight="1">
      <c r="A21" s="3090"/>
      <c r="B21" s="3091"/>
      <c r="C21" s="3092"/>
      <c r="D21" s="3093" t="s">
        <v>7084</v>
      </c>
      <c r="E21" s="3092"/>
      <c r="F21" s="3094">
        <f>((4.6*2+10.2*2)*((0.8*0.8)/2))*0.9</f>
        <v>8.5248000000000008</v>
      </c>
      <c r="G21" s="3095"/>
      <c r="H21" s="4031"/>
      <c r="I21" s="3096"/>
      <c r="J21" s="2433"/>
      <c r="T21" s="1292"/>
      <c r="V21" s="1292"/>
    </row>
    <row r="22" spans="1:23" s="1291" customFormat="1" ht="27" customHeight="1">
      <c r="A22" s="3090"/>
      <c r="B22" s="3091"/>
      <c r="C22" s="3092"/>
      <c r="D22" s="3092" t="s">
        <v>7085</v>
      </c>
      <c r="E22" s="3092"/>
      <c r="F22" s="3094"/>
      <c r="G22" s="3095"/>
      <c r="H22" s="4031"/>
      <c r="I22" s="3096"/>
      <c r="J22" s="1290"/>
      <c r="U22" s="1292"/>
      <c r="W22" s="1292"/>
    </row>
    <row r="23" spans="1:23" s="595" customFormat="1" ht="13.5" customHeight="1">
      <c r="A23" s="3086">
        <v>8</v>
      </c>
      <c r="B23" s="3087" t="s">
        <v>850</v>
      </c>
      <c r="C23" s="3087">
        <v>131351100</v>
      </c>
      <c r="D23" s="3087" t="s">
        <v>7086</v>
      </c>
      <c r="E23" s="3087" t="s">
        <v>221</v>
      </c>
      <c r="F23" s="3279">
        <f>ROUND(SUM(F25:F27),3)</f>
        <v>2.794</v>
      </c>
      <c r="G23" s="3088"/>
      <c r="H23" s="3942">
        <f>ROUND(F23*G23,2)</f>
        <v>0</v>
      </c>
      <c r="I23" s="3089" t="s">
        <v>142</v>
      </c>
      <c r="J23" s="2434"/>
    </row>
    <row r="24" spans="1:23" s="1291" customFormat="1" ht="13.5" customHeight="1">
      <c r="A24" s="3090"/>
      <c r="B24" s="3091"/>
      <c r="C24" s="3092"/>
      <c r="D24" s="3093" t="s">
        <v>7087</v>
      </c>
      <c r="E24" s="3092"/>
      <c r="F24" s="3094"/>
      <c r="G24" s="3095"/>
      <c r="H24" s="4031"/>
      <c r="I24" s="3096"/>
      <c r="J24" s="2432"/>
      <c r="T24" s="1292"/>
      <c r="V24" s="1292"/>
    </row>
    <row r="25" spans="1:23" s="1291" customFormat="1" ht="13.5" customHeight="1">
      <c r="A25" s="3090"/>
      <c r="B25" s="3091"/>
      <c r="C25" s="3092"/>
      <c r="D25" s="3093" t="s">
        <v>7088</v>
      </c>
      <c r="E25" s="3092"/>
      <c r="F25" s="3094">
        <f>((3.3*7.3)*0.24)*0.1</f>
        <v>0.57816000000000001</v>
      </c>
      <c r="G25" s="3095"/>
      <c r="H25" s="4031"/>
      <c r="I25" s="3096"/>
      <c r="J25" s="2432"/>
      <c r="T25" s="1292"/>
      <c r="V25" s="1292"/>
    </row>
    <row r="26" spans="1:23" s="1291" customFormat="1" ht="13.5" customHeight="1">
      <c r="A26" s="3090"/>
      <c r="B26" s="3091"/>
      <c r="C26" s="3092"/>
      <c r="D26" s="3093" t="s">
        <v>7089</v>
      </c>
      <c r="E26" s="3092"/>
      <c r="F26" s="3094">
        <f>((4.6*2+7.6*2)*(0.65*0.8))*0.1</f>
        <v>1.2687999999999999</v>
      </c>
      <c r="G26" s="3095"/>
      <c r="H26" s="4031"/>
      <c r="I26" s="3096"/>
      <c r="J26" s="2432"/>
      <c r="T26" s="1292"/>
      <c r="V26" s="1292"/>
    </row>
    <row r="27" spans="1:23" s="1291" customFormat="1" ht="13.5" customHeight="1">
      <c r="A27" s="3090"/>
      <c r="B27" s="3091"/>
      <c r="C27" s="3092"/>
      <c r="D27" s="3093" t="s">
        <v>7090</v>
      </c>
      <c r="E27" s="3092"/>
      <c r="F27" s="3094">
        <f>((4.6*2+10.2*2)*((0.8*0.8)/2))*0.1</f>
        <v>0.94720000000000015</v>
      </c>
      <c r="G27" s="3095"/>
      <c r="H27" s="4031"/>
      <c r="I27" s="3096"/>
      <c r="J27" s="2432"/>
      <c r="T27" s="1292"/>
      <c r="V27" s="1292"/>
    </row>
    <row r="28" spans="1:23" s="1291" customFormat="1" ht="27" customHeight="1">
      <c r="A28" s="3090"/>
      <c r="B28" s="3091"/>
      <c r="C28" s="3092"/>
      <c r="D28" s="3092" t="s">
        <v>7085</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7091</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7092</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7093</v>
      </c>
      <c r="E34" s="3114"/>
      <c r="F34" s="3117"/>
      <c r="G34" s="3115"/>
      <c r="H34" s="4201"/>
      <c r="I34" s="3118"/>
      <c r="J34" s="2436"/>
    </row>
    <row r="35" spans="1:256" s="2317" customFormat="1" ht="13.5" customHeight="1">
      <c r="A35" s="3112"/>
      <c r="B35" s="3114"/>
      <c r="C35" s="3114"/>
      <c r="D35" s="3116" t="s">
        <v>7094</v>
      </c>
      <c r="E35" s="3114"/>
      <c r="F35" s="3119">
        <f>(12.69+9.47)</f>
        <v>22.16</v>
      </c>
      <c r="G35" s="3115"/>
      <c r="H35" s="4201"/>
      <c r="I35" s="3118"/>
    </row>
    <row r="36" spans="1:256" s="2317" customFormat="1" ht="27" customHeight="1">
      <c r="A36" s="3112"/>
      <c r="B36" s="3114"/>
      <c r="C36" s="3114"/>
      <c r="D36" s="3116" t="s">
        <v>7095</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7096</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7097</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7098</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7099</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7100</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6944</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7101</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7102</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7103</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7104</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7105</v>
      </c>
      <c r="E72" s="3282"/>
      <c r="F72" s="3279"/>
      <c r="G72" s="3409"/>
      <c r="H72" s="4208"/>
      <c r="I72" s="3089"/>
      <c r="M72" s="4681"/>
      <c r="O72" s="3305"/>
      <c r="P72" s="3305"/>
    </row>
    <row r="73" spans="1:256" s="3473" customFormat="1" ht="13.5" customHeight="1">
      <c r="A73" s="3446"/>
      <c r="B73" s="3287"/>
      <c r="C73" s="3287"/>
      <c r="D73" s="3287" t="s">
        <v>7106</v>
      </c>
      <c r="E73" s="3287"/>
      <c r="F73" s="3291">
        <f>((7.6+7.6+3.3+3.3)*1)*1.05</f>
        <v>22.89</v>
      </c>
      <c r="G73" s="3447"/>
      <c r="H73" s="4209"/>
      <c r="I73" s="3515"/>
      <c r="J73" s="4679"/>
      <c r="O73" s="4680"/>
      <c r="P73" s="4680"/>
    </row>
    <row r="74" spans="1:256" s="3473" customFormat="1" ht="13.5" customHeight="1">
      <c r="A74" s="3446"/>
      <c r="B74" s="3287"/>
      <c r="C74" s="3287"/>
      <c r="D74" s="3287" t="s">
        <v>7107</v>
      </c>
      <c r="E74" s="3287"/>
      <c r="F74" s="3291"/>
      <c r="G74" s="3447"/>
      <c r="H74" s="4209"/>
      <c r="I74" s="3515"/>
      <c r="J74" s="4679"/>
      <c r="O74" s="4680"/>
      <c r="P74" s="4680"/>
    </row>
    <row r="75" spans="1:256" s="3473" customFormat="1" ht="13.5" customHeight="1">
      <c r="A75" s="3408">
        <v>17</v>
      </c>
      <c r="B75" s="3281" t="s">
        <v>911</v>
      </c>
      <c r="C75" s="3282">
        <v>279361821</v>
      </c>
      <c r="D75" s="3282" t="s">
        <v>7108</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7109</v>
      </c>
      <c r="E76" s="3282"/>
      <c r="F76" s="3279"/>
      <c r="G76" s="3409"/>
      <c r="H76" s="4208"/>
      <c r="I76" s="3089"/>
      <c r="M76" s="4681"/>
      <c r="O76" s="3305"/>
      <c r="P76" s="3305"/>
    </row>
    <row r="77" spans="1:256" s="3473" customFormat="1" ht="27" customHeight="1">
      <c r="A77" s="3446"/>
      <c r="B77" s="3287"/>
      <c r="C77" s="3287"/>
      <c r="D77" s="3287" t="s">
        <v>7110</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4151</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7111</v>
      </c>
      <c r="E80" s="3183"/>
      <c r="F80" s="3186"/>
      <c r="G80" s="3184"/>
      <c r="H80" s="4192"/>
      <c r="I80" s="3187"/>
      <c r="J80" s="2444"/>
      <c r="L80" s="2445"/>
    </row>
    <row r="81" spans="1:25" s="2447" customFormat="1" ht="13.5" customHeight="1">
      <c r="A81" s="3181"/>
      <c r="B81" s="3182"/>
      <c r="C81" s="3183"/>
      <c r="D81" s="3185" t="s">
        <v>7112</v>
      </c>
      <c r="E81" s="3183"/>
      <c r="F81" s="3188"/>
      <c r="G81" s="3184"/>
      <c r="H81" s="4192"/>
      <c r="I81" s="3180"/>
      <c r="J81" s="2446"/>
      <c r="L81" s="2445"/>
      <c r="M81" s="933"/>
    </row>
    <row r="82" spans="1:25" s="2447" customFormat="1" ht="13.5" customHeight="1">
      <c r="A82" s="3181"/>
      <c r="B82" s="3182"/>
      <c r="C82" s="3183"/>
      <c r="D82" s="3185" t="s">
        <v>7113</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7114</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7115</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7116</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940" t="s">
        <v>2577</v>
      </c>
      <c r="H88" s="5941"/>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7117</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7118</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7119</v>
      </c>
      <c r="E92" s="3220"/>
      <c r="F92" s="3103"/>
      <c r="G92" s="3071"/>
      <c r="H92" s="4188"/>
      <c r="I92" s="3076"/>
      <c r="J92" s="1324"/>
      <c r="K92" s="1325"/>
    </row>
    <row r="93" spans="1:25" s="460" customFormat="1" ht="27" customHeight="1">
      <c r="A93" s="3097"/>
      <c r="B93" s="3121"/>
      <c r="C93" s="3098"/>
      <c r="D93" s="3102" t="s">
        <v>7120</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7121</v>
      </c>
      <c r="C95" s="3225">
        <v>998014211</v>
      </c>
      <c r="D95" s="3225" t="s">
        <v>7122</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7123</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7124</v>
      </c>
      <c r="E98" s="3228"/>
      <c r="F98" s="3119">
        <f>(9.143+2.149+3.472)</f>
        <v>14.764000000000001</v>
      </c>
      <c r="G98" s="3099"/>
      <c r="H98" s="4189"/>
      <c r="I98" s="3229"/>
      <c r="J98" s="1145"/>
      <c r="K98" s="1146"/>
      <c r="L98" s="461"/>
    </row>
    <row r="99" spans="1:21" s="2452" customFormat="1" ht="13.5" customHeight="1">
      <c r="A99" s="3230">
        <v>22</v>
      </c>
      <c r="B99" s="3182" t="s">
        <v>188</v>
      </c>
      <c r="C99" s="3183" t="s">
        <v>7125</v>
      </c>
      <c r="D99" s="3183" t="s">
        <v>7126</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7127</v>
      </c>
      <c r="E102" s="3459"/>
      <c r="F102" s="3460"/>
      <c r="G102" s="3461"/>
      <c r="H102" s="4194">
        <f>SUM(H103:H143)</f>
        <v>0</v>
      </c>
      <c r="I102" s="3462"/>
    </row>
    <row r="103" spans="1:21" s="3286" customFormat="1" ht="13.5" customHeight="1">
      <c r="A103" s="3237">
        <v>23</v>
      </c>
      <c r="B103" s="3463">
        <v>741</v>
      </c>
      <c r="C103" s="3463" t="s">
        <v>7128</v>
      </c>
      <c r="D103" s="3463" t="s">
        <v>7129</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7130</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7131</v>
      </c>
      <c r="E105" s="3464"/>
      <c r="F105" s="3467">
        <v>4</v>
      </c>
      <c r="G105" s="3468"/>
      <c r="H105" s="4119"/>
      <c r="I105" s="3465"/>
      <c r="J105" s="3296"/>
      <c r="M105" s="3470"/>
      <c r="Q105" s="3471"/>
      <c r="S105" s="3471"/>
    </row>
    <row r="106" spans="1:21" s="3286" customFormat="1" ht="13.5" customHeight="1">
      <c r="A106" s="3237"/>
      <c r="B106" s="3463"/>
      <c r="C106" s="3463"/>
      <c r="D106" s="3466" t="s">
        <v>7132</v>
      </c>
      <c r="E106" s="3464"/>
      <c r="F106" s="3467"/>
      <c r="G106" s="3468"/>
      <c r="H106" s="4119"/>
      <c r="I106" s="3516"/>
      <c r="J106" s="4677"/>
      <c r="K106" s="4677"/>
      <c r="M106" s="3470"/>
      <c r="Q106" s="3471"/>
    </row>
    <row r="107" spans="1:21" s="3473" customFormat="1" ht="13.5" customHeight="1">
      <c r="A107" s="3484">
        <v>25</v>
      </c>
      <c r="B107" s="3463">
        <v>741</v>
      </c>
      <c r="C107" s="3463" t="s">
        <v>7134</v>
      </c>
      <c r="D107" s="3463" t="s">
        <v>7135</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7136</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7137</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7138</v>
      </c>
      <c r="D110" s="3463" t="s">
        <v>7139</v>
      </c>
      <c r="E110" s="3463" t="s">
        <v>23</v>
      </c>
      <c r="F110" s="3080">
        <f>ROUND(SUM(F112),3)</f>
        <v>1</v>
      </c>
      <c r="G110" s="3468"/>
      <c r="H110" s="3942">
        <f>ROUND(F110*G110,2)</f>
        <v>0</v>
      </c>
      <c r="I110" s="3465" t="s">
        <v>60</v>
      </c>
      <c r="M110" s="3482"/>
    </row>
    <row r="111" spans="1:21" s="3473" customFormat="1" ht="13.5" customHeight="1">
      <c r="A111" s="3237"/>
      <c r="B111" s="3463"/>
      <c r="C111" s="3463"/>
      <c r="D111" s="3466" t="s">
        <v>7140</v>
      </c>
      <c r="E111" s="3463"/>
      <c r="F111" s="3481"/>
      <c r="G111" s="3468"/>
      <c r="H111" s="4119"/>
      <c r="I111" s="3465"/>
      <c r="M111" s="3482"/>
    </row>
    <row r="112" spans="1:21" s="3473" customFormat="1" ht="13.5" customHeight="1">
      <c r="A112" s="3237"/>
      <c r="B112" s="3463"/>
      <c r="C112" s="3463"/>
      <c r="D112" s="3287" t="s">
        <v>7131</v>
      </c>
      <c r="E112" s="3464"/>
      <c r="F112" s="3467">
        <v>1</v>
      </c>
      <c r="G112" s="3468"/>
      <c r="H112" s="4119"/>
      <c r="I112" s="3465"/>
      <c r="M112" s="3482"/>
    </row>
    <row r="113" spans="1:97" s="3473" customFormat="1" ht="27" customHeight="1">
      <c r="A113" s="3237"/>
      <c r="B113" s="3463"/>
      <c r="C113" s="3463"/>
      <c r="D113" s="3494" t="s">
        <v>7141</v>
      </c>
      <c r="E113" s="3463"/>
      <c r="F113" s="3467"/>
      <c r="G113" s="3468"/>
      <c r="H113" s="4119"/>
      <c r="I113" s="3465"/>
      <c r="M113" s="3482"/>
    </row>
    <row r="114" spans="1:97" s="3473" customFormat="1" ht="13.5" customHeight="1">
      <c r="A114" s="3484">
        <v>27</v>
      </c>
      <c r="B114" s="3463">
        <v>741</v>
      </c>
      <c r="C114" s="3240" t="s">
        <v>7142</v>
      </c>
      <c r="D114" s="3463" t="s">
        <v>7143</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7144</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10111</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7145</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7146</v>
      </c>
      <c r="D118" s="3463" t="s">
        <v>11680</v>
      </c>
      <c r="E118" s="3463" t="s">
        <v>141</v>
      </c>
      <c r="F118" s="3481">
        <f>SUM(F119)</f>
        <v>2.2000000000000002</v>
      </c>
      <c r="G118" s="5942" t="s">
        <v>11555</v>
      </c>
      <c r="H118" s="5943"/>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7383</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7145</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11679</v>
      </c>
      <c r="D121" s="5600" t="s">
        <v>11678</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7383</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7145</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7148</v>
      </c>
      <c r="D124" s="3241" t="s">
        <v>7149</v>
      </c>
      <c r="E124" s="3463" t="s">
        <v>155</v>
      </c>
      <c r="F124" s="3481">
        <f>SUM(F125)</f>
        <v>13</v>
      </c>
      <c r="G124" s="3468"/>
      <c r="H124" s="3942">
        <f>ROUND(F124*G124,2)</f>
        <v>0</v>
      </c>
      <c r="I124" s="3239" t="s">
        <v>60</v>
      </c>
      <c r="W124" s="2468"/>
    </row>
    <row r="125" spans="1:97" s="3473" customFormat="1" ht="13.5" customHeight="1">
      <c r="A125" s="3484"/>
      <c r="B125" s="3463"/>
      <c r="C125" s="3240"/>
      <c r="D125" s="3474" t="s">
        <v>7150</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7145</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7151</v>
      </c>
      <c r="D127" s="3243" t="s">
        <v>7152</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10112</v>
      </c>
      <c r="E128" s="3240"/>
      <c r="F128" s="3245">
        <v>1</v>
      </c>
      <c r="G128" s="3476"/>
      <c r="H128" s="4195"/>
      <c r="I128" s="3239"/>
      <c r="J128" s="2472"/>
      <c r="S128" s="2474"/>
    </row>
    <row r="129" spans="1:97" s="2473" customFormat="1" ht="13.5" customHeight="1">
      <c r="A129" s="3242">
        <v>31</v>
      </c>
      <c r="B129" s="3240">
        <v>741</v>
      </c>
      <c r="C129" s="3240" t="s">
        <v>7153</v>
      </c>
      <c r="D129" s="3243" t="s">
        <v>7154</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10113</v>
      </c>
      <c r="E130" s="3247"/>
      <c r="F130" s="3245">
        <v>1</v>
      </c>
      <c r="G130" s="3248"/>
      <c r="H130" s="4196"/>
      <c r="I130" s="3248"/>
      <c r="J130" s="2472"/>
      <c r="K130" s="2475"/>
      <c r="L130" s="2475"/>
    </row>
    <row r="131" spans="1:97" s="2473" customFormat="1" ht="13.5" customHeight="1">
      <c r="A131" s="3242">
        <v>32</v>
      </c>
      <c r="B131" s="3240">
        <v>741</v>
      </c>
      <c r="C131" s="3240" t="s">
        <v>7156</v>
      </c>
      <c r="D131" s="3243" t="s">
        <v>7157</v>
      </c>
      <c r="E131" s="3240" t="s">
        <v>23</v>
      </c>
      <c r="F131" s="3249">
        <v>3</v>
      </c>
      <c r="G131" s="3476"/>
      <c r="H131" s="3942">
        <f>ROUND(F131*G131,2)</f>
        <v>0</v>
      </c>
      <c r="I131" s="3239" t="s">
        <v>60</v>
      </c>
      <c r="J131" s="2472"/>
      <c r="S131" s="2474"/>
    </row>
    <row r="132" spans="1:97" s="1494" customFormat="1" ht="13.5" customHeight="1">
      <c r="A132" s="3237">
        <v>33</v>
      </c>
      <c r="B132" s="3250">
        <v>741</v>
      </c>
      <c r="C132" s="3463" t="s">
        <v>7305</v>
      </c>
      <c r="D132" s="3251" t="s">
        <v>7158</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7159</v>
      </c>
      <c r="E133" s="3464"/>
      <c r="F133" s="3475"/>
      <c r="G133" s="3500"/>
      <c r="H133" s="4119"/>
      <c r="I133" s="3465"/>
      <c r="J133" s="2460"/>
      <c r="K133" s="2461"/>
      <c r="Q133" s="2463"/>
    </row>
    <row r="134" spans="1:97" s="1487" customFormat="1" ht="13.5" customHeight="1">
      <c r="A134" s="3237"/>
      <c r="B134" s="3251"/>
      <c r="C134" s="3251"/>
      <c r="D134" s="3474" t="s">
        <v>7131</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7160</v>
      </c>
      <c r="E135" s="3491"/>
      <c r="F135" s="3478"/>
      <c r="G135" s="3500"/>
      <c r="H135" s="4119"/>
      <c r="I135" s="3502"/>
      <c r="J135" s="2522"/>
    </row>
    <row r="136" spans="1:97" s="2560" customFormat="1" ht="81" customHeight="1">
      <c r="A136" s="3242"/>
      <c r="B136" s="3240"/>
      <c r="C136" s="3240"/>
      <c r="D136" s="3252" t="s">
        <v>10114</v>
      </c>
      <c r="E136" s="3240"/>
      <c r="F136" s="3253"/>
      <c r="G136" s="3238"/>
      <c r="H136" s="4098"/>
      <c r="I136" s="3502"/>
      <c r="J136" s="2522"/>
      <c r="K136" s="2563"/>
    </row>
    <row r="137" spans="1:97" s="3473" customFormat="1" ht="13.7" customHeight="1">
      <c r="A137" s="3237">
        <v>34</v>
      </c>
      <c r="B137" s="3250">
        <v>741</v>
      </c>
      <c r="C137" s="3463" t="s">
        <v>7310</v>
      </c>
      <c r="D137" s="3464" t="s">
        <v>7161</v>
      </c>
      <c r="E137" s="3464" t="s">
        <v>23</v>
      </c>
      <c r="F137" s="3080">
        <f>ROUND(SUM(F138),3)</f>
        <v>1</v>
      </c>
      <c r="G137" s="3283"/>
      <c r="H137" s="3942">
        <f>ROUND(F137*G137,2)</f>
        <v>0</v>
      </c>
      <c r="I137" s="3465" t="s">
        <v>60</v>
      </c>
    </row>
    <row r="138" spans="1:97" s="3473" customFormat="1" ht="13.7" customHeight="1">
      <c r="A138" s="3237"/>
      <c r="B138" s="3250"/>
      <c r="C138" s="3251"/>
      <c r="D138" s="3474" t="s">
        <v>7131</v>
      </c>
      <c r="E138" s="3501"/>
      <c r="F138" s="3475">
        <v>1</v>
      </c>
      <c r="G138" s="3500"/>
      <c r="H138" s="4119"/>
      <c r="I138" s="3462"/>
    </row>
    <row r="139" spans="1:97" s="3473" customFormat="1" ht="27" customHeight="1">
      <c r="A139" s="3237"/>
      <c r="B139" s="3250"/>
      <c r="C139" s="3251"/>
      <c r="D139" s="3503" t="s">
        <v>7162</v>
      </c>
      <c r="E139" s="3491"/>
      <c r="F139" s="3475"/>
      <c r="G139" s="3500"/>
      <c r="H139" s="4119"/>
      <c r="I139" s="3502"/>
      <c r="J139" s="3504"/>
    </row>
    <row r="140" spans="1:97" s="3508" customFormat="1" ht="13.5" customHeight="1">
      <c r="A140" s="3484">
        <v>35</v>
      </c>
      <c r="B140" s="3463">
        <v>741</v>
      </c>
      <c r="C140" s="3463">
        <v>998741201</v>
      </c>
      <c r="D140" s="3463" t="s">
        <v>7163</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7164</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7165</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7166</v>
      </c>
      <c r="E144" s="3233"/>
      <c r="F144" s="3234"/>
      <c r="G144" s="3255"/>
      <c r="H144" s="4197">
        <f>SUM(H145:H156)</f>
        <v>0</v>
      </c>
      <c r="I144" s="3256"/>
      <c r="J144" s="2476"/>
      <c r="K144" s="2477"/>
      <c r="L144" s="2477"/>
      <c r="M144" s="595"/>
    </row>
    <row r="145" spans="1:256" s="2479" customFormat="1" ht="13.5" customHeight="1">
      <c r="A145" s="3257">
        <v>37</v>
      </c>
      <c r="B145" s="3258">
        <v>790</v>
      </c>
      <c r="C145" s="3259" t="s">
        <v>7167</v>
      </c>
      <c r="D145" s="3258" t="s">
        <v>7168</v>
      </c>
      <c r="E145" s="3258" t="s">
        <v>155</v>
      </c>
      <c r="F145" s="3080">
        <f>ROUND(SUM(F146),3)</f>
        <v>6</v>
      </c>
      <c r="G145" s="3260"/>
      <c r="H145" s="3942">
        <f>ROUND(F145*G145,2)</f>
        <v>0</v>
      </c>
      <c r="I145" s="3256" t="s">
        <v>60</v>
      </c>
      <c r="J145" s="2478"/>
    </row>
    <row r="146" spans="1:256" s="595" customFormat="1" ht="13.5" customHeight="1">
      <c r="A146" s="3261"/>
      <c r="B146" s="3262"/>
      <c r="C146" s="3262"/>
      <c r="D146" s="3093" t="s">
        <v>7169</v>
      </c>
      <c r="E146" s="3262"/>
      <c r="F146" s="3226">
        <v>6</v>
      </c>
      <c r="G146" s="3263"/>
      <c r="H146" s="4198"/>
      <c r="I146" s="3236"/>
      <c r="J146" s="337"/>
      <c r="O146" s="2480"/>
    </row>
    <row r="147" spans="1:256" s="595" customFormat="1" ht="13.5" customHeight="1">
      <c r="A147" s="3261"/>
      <c r="B147" s="3262"/>
      <c r="C147" s="3262"/>
      <c r="D147" s="3093" t="s">
        <v>7170</v>
      </c>
      <c r="E147" s="3262"/>
      <c r="F147" s="3226"/>
      <c r="G147" s="3263"/>
      <c r="H147" s="4198"/>
      <c r="I147" s="3236"/>
    </row>
    <row r="148" spans="1:256" s="2479" customFormat="1" ht="13.5" customHeight="1">
      <c r="A148" s="3257">
        <v>38</v>
      </c>
      <c r="B148" s="3258">
        <v>790</v>
      </c>
      <c r="C148" s="3259" t="s">
        <v>7171</v>
      </c>
      <c r="D148" s="3258" t="s">
        <v>7172</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7173</v>
      </c>
      <c r="E149" s="3262"/>
      <c r="F149" s="3264"/>
      <c r="G149" s="3263"/>
      <c r="H149" s="4198"/>
      <c r="I149" s="3265"/>
      <c r="J149" s="337"/>
      <c r="M149" s="2482"/>
      <c r="O149" s="2480"/>
    </row>
    <row r="150" spans="1:256" s="595" customFormat="1" ht="13.5" customHeight="1">
      <c r="A150" s="3261"/>
      <c r="B150" s="3262"/>
      <c r="C150" s="3262"/>
      <c r="D150" s="3093" t="s">
        <v>7174</v>
      </c>
      <c r="E150" s="3262"/>
      <c r="F150" s="3226">
        <v>1</v>
      </c>
      <c r="G150" s="3263"/>
      <c r="H150" s="4198"/>
      <c r="I150" s="3265"/>
      <c r="J150" s="1224"/>
      <c r="O150" s="2480"/>
    </row>
    <row r="151" spans="1:256" s="2438" customFormat="1" ht="67.5" customHeight="1">
      <c r="A151" s="3168"/>
      <c r="B151" s="3169"/>
      <c r="C151" s="3170"/>
      <c r="D151" s="3171" t="s">
        <v>7175</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7176</v>
      </c>
      <c r="E152" s="3262"/>
      <c r="F152" s="3226"/>
      <c r="G152" s="3263"/>
      <c r="H152" s="4198"/>
      <c r="I152" s="3265"/>
      <c r="J152" s="1224"/>
      <c r="L152" s="1224"/>
    </row>
    <row r="153" spans="1:256" s="3268" customFormat="1" ht="13.5" customHeight="1">
      <c r="A153" s="3257">
        <v>39</v>
      </c>
      <c r="B153" s="3259" t="s">
        <v>3028</v>
      </c>
      <c r="C153" s="3259" t="s">
        <v>7177</v>
      </c>
      <c r="D153" s="3259" t="s">
        <v>7178</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7179</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934" t="s">
        <v>99</v>
      </c>
      <c r="B159" s="5935"/>
      <c r="C159" s="5936"/>
      <c r="D159" s="1670" t="s">
        <v>10517</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814" t="s">
        <v>1</v>
      </c>
      <c r="B161" s="5933"/>
      <c r="C161" s="5933"/>
      <c r="D161" s="5933"/>
      <c r="E161" s="5933"/>
      <c r="F161" s="5933"/>
      <c r="G161" s="5933"/>
      <c r="H161" s="318"/>
      <c r="I161" s="318"/>
    </row>
    <row r="162" spans="1:9" s="460" customFormat="1" ht="27" customHeight="1">
      <c r="A162" s="5814" t="s">
        <v>308</v>
      </c>
      <c r="B162" s="5937"/>
      <c r="C162" s="5937"/>
      <c r="D162" s="5937"/>
      <c r="E162" s="5937"/>
      <c r="F162" s="5937"/>
      <c r="G162" s="5937"/>
      <c r="H162" s="48"/>
    </row>
    <row r="163" spans="1:9" s="48" customFormat="1" ht="102.75" customHeight="1">
      <c r="A163" s="5814" t="s">
        <v>26</v>
      </c>
      <c r="B163" s="5938"/>
      <c r="C163" s="5938"/>
      <c r="D163" s="5938"/>
      <c r="E163" s="5938"/>
      <c r="F163" s="5938"/>
      <c r="G163" s="5938"/>
    </row>
    <row r="164" spans="1:9" s="459" customFormat="1" ht="13.5" customHeight="1">
      <c r="A164" s="5814" t="s">
        <v>27</v>
      </c>
      <c r="B164" s="5933"/>
      <c r="C164" s="5933"/>
      <c r="D164" s="5933"/>
      <c r="E164" s="5933"/>
      <c r="F164" s="5933"/>
      <c r="G164" s="5933"/>
      <c r="H164" s="318"/>
      <c r="I164" s="318"/>
    </row>
    <row r="165" spans="1:9" s="459" customFormat="1" ht="13.5" customHeight="1">
      <c r="A165" s="5814" t="s">
        <v>28</v>
      </c>
      <c r="B165" s="5933"/>
      <c r="C165" s="5933"/>
      <c r="D165" s="5933"/>
      <c r="E165" s="5933"/>
      <c r="F165" s="5933"/>
      <c r="G165" s="5933"/>
      <c r="H165" s="318"/>
      <c r="I165" s="318"/>
    </row>
    <row r="166" spans="1:9" s="3276" customFormat="1" ht="40.5" customHeight="1">
      <c r="A166" s="5816" t="s">
        <v>61</v>
      </c>
      <c r="B166" s="5816"/>
      <c r="C166" s="5816"/>
      <c r="D166" s="5816"/>
      <c r="E166" s="5816"/>
      <c r="F166" s="5816"/>
      <c r="G166" s="5816"/>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894" t="s">
        <v>112</v>
      </c>
      <c r="B2" s="5939"/>
      <c r="C2" s="5939"/>
      <c r="D2" s="5939"/>
      <c r="E2" s="5939"/>
      <c r="F2" s="5939"/>
      <c r="G2" s="5939"/>
      <c r="H2" s="5939"/>
      <c r="I2" s="5939"/>
    </row>
    <row r="3" spans="1:256" s="907" customFormat="1" ht="12.75" customHeight="1">
      <c r="A3" s="5913" t="s">
        <v>7074</v>
      </c>
      <c r="B3" s="5913"/>
      <c r="C3" s="5913"/>
      <c r="D3" s="5913"/>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7180</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7079</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7181</v>
      </c>
      <c r="E18" s="3092"/>
      <c r="F18" s="3094"/>
      <c r="G18" s="3095"/>
      <c r="H18" s="4031"/>
      <c r="I18" s="3096"/>
      <c r="J18" s="2432"/>
      <c r="T18" s="1292"/>
      <c r="V18" s="1292"/>
    </row>
    <row r="19" spans="1:23" s="1291" customFormat="1" ht="13.5" customHeight="1">
      <c r="A19" s="3090"/>
      <c r="B19" s="3091"/>
      <c r="C19" s="3092"/>
      <c r="D19" s="3093" t="s">
        <v>7182</v>
      </c>
      <c r="E19" s="3092"/>
      <c r="F19" s="3094">
        <f>((9*7.5)*1)*0.9</f>
        <v>60.75</v>
      </c>
      <c r="G19" s="3095"/>
      <c r="H19" s="4031"/>
      <c r="I19" s="3096"/>
      <c r="J19" s="2433"/>
      <c r="T19" s="1292"/>
      <c r="V19" s="1292"/>
    </row>
    <row r="20" spans="1:23" s="1291" customFormat="1" ht="13.5" customHeight="1">
      <c r="A20" s="3090"/>
      <c r="B20" s="3091"/>
      <c r="C20" s="3092"/>
      <c r="D20" s="3093" t="s">
        <v>7183</v>
      </c>
      <c r="E20" s="3092"/>
      <c r="F20" s="3094">
        <f>((11*2+7.5*2)*0.5)*0.9</f>
        <v>16.650000000000002</v>
      </c>
      <c r="G20" s="3095"/>
      <c r="H20" s="4031"/>
      <c r="I20" s="3096"/>
      <c r="J20" s="2433"/>
      <c r="T20" s="1292"/>
      <c r="V20" s="1292"/>
    </row>
    <row r="21" spans="1:23" s="1291" customFormat="1" ht="27" customHeight="1">
      <c r="A21" s="3090"/>
      <c r="B21" s="3091"/>
      <c r="C21" s="3092"/>
      <c r="D21" s="3092" t="s">
        <v>7085</v>
      </c>
      <c r="E21" s="3092"/>
      <c r="F21" s="3094"/>
      <c r="G21" s="3095"/>
      <c r="H21" s="4031"/>
      <c r="I21" s="3096"/>
      <c r="J21" s="1290"/>
      <c r="U21" s="1292"/>
      <c r="W21" s="1292"/>
    </row>
    <row r="22" spans="1:23" s="595" customFormat="1" ht="13.5" customHeight="1">
      <c r="A22" s="3086">
        <v>8</v>
      </c>
      <c r="B22" s="3087" t="s">
        <v>850</v>
      </c>
      <c r="C22" s="3087">
        <v>131351100</v>
      </c>
      <c r="D22" s="3087" t="s">
        <v>7086</v>
      </c>
      <c r="E22" s="3087" t="s">
        <v>221</v>
      </c>
      <c r="F22" s="3279">
        <f>ROUND(SUM(F24:F25),3)</f>
        <v>8.6</v>
      </c>
      <c r="G22" s="3088"/>
      <c r="H22" s="3942">
        <f>ROUND(F22*G22,2)</f>
        <v>0</v>
      </c>
      <c r="I22" s="3089" t="s">
        <v>142</v>
      </c>
      <c r="J22" s="2434"/>
    </row>
    <row r="23" spans="1:23" s="1291" customFormat="1" ht="13.5" customHeight="1">
      <c r="A23" s="3090"/>
      <c r="B23" s="3091"/>
      <c r="C23" s="3092"/>
      <c r="D23" s="3093" t="s">
        <v>7184</v>
      </c>
      <c r="E23" s="3092"/>
      <c r="F23" s="3094"/>
      <c r="G23" s="3095"/>
      <c r="H23" s="4031"/>
      <c r="I23" s="3096"/>
      <c r="J23" s="2432"/>
      <c r="T23" s="1292"/>
      <c r="V23" s="1292"/>
    </row>
    <row r="24" spans="1:23" s="1291" customFormat="1" ht="13.5" customHeight="1">
      <c r="A24" s="3090"/>
      <c r="B24" s="3091"/>
      <c r="C24" s="3092"/>
      <c r="D24" s="3093" t="s">
        <v>7185</v>
      </c>
      <c r="E24" s="3092"/>
      <c r="F24" s="3094">
        <f>((9*7.5)*1)*0.1</f>
        <v>6.75</v>
      </c>
      <c r="G24" s="3095"/>
      <c r="H24" s="4031"/>
      <c r="I24" s="3096"/>
      <c r="J24" s="2432"/>
      <c r="T24" s="1292"/>
      <c r="V24" s="1292"/>
    </row>
    <row r="25" spans="1:23" s="1291" customFormat="1" ht="13.5" customHeight="1">
      <c r="A25" s="3090"/>
      <c r="B25" s="3091"/>
      <c r="C25" s="3092"/>
      <c r="D25" s="3093" t="s">
        <v>7186</v>
      </c>
      <c r="E25" s="3092"/>
      <c r="F25" s="3094">
        <f>((11*2+7.5*2)*0.5)*0.1</f>
        <v>1.85</v>
      </c>
      <c r="G25" s="3095"/>
      <c r="H25" s="4031"/>
      <c r="I25" s="3096"/>
      <c r="J25" s="2432"/>
      <c r="T25" s="1292"/>
      <c r="V25" s="1292"/>
    </row>
    <row r="26" spans="1:23" s="1291" customFormat="1" ht="27" customHeight="1">
      <c r="A26" s="3090"/>
      <c r="B26" s="3091"/>
      <c r="C26" s="3092"/>
      <c r="D26" s="3092" t="s">
        <v>7085</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7187</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7188</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7093</v>
      </c>
      <c r="E32" s="3114"/>
      <c r="F32" s="3117"/>
      <c r="G32" s="3115"/>
      <c r="H32" s="4201"/>
      <c r="I32" s="3118"/>
      <c r="J32" s="2436"/>
    </row>
    <row r="33" spans="1:256" s="2317" customFormat="1" ht="13.5" customHeight="1">
      <c r="A33" s="3112"/>
      <c r="B33" s="3114"/>
      <c r="C33" s="3114"/>
      <c r="D33" s="3116" t="s">
        <v>7189</v>
      </c>
      <c r="E33" s="3114"/>
      <c r="F33" s="3119">
        <f>(77.4+8.6)</f>
        <v>86</v>
      </c>
      <c r="G33" s="3115"/>
      <c r="H33" s="4201"/>
      <c r="I33" s="3118"/>
    </row>
    <row r="34" spans="1:256" s="2317" customFormat="1" ht="27" customHeight="1">
      <c r="A34" s="3112"/>
      <c r="B34" s="3114"/>
      <c r="C34" s="3114"/>
      <c r="D34" s="3116" t="s">
        <v>7190</v>
      </c>
      <c r="E34" s="3114"/>
      <c r="F34" s="3119">
        <f>-((7.6*0.8*0.4)+(28.2*0.8*0.4)+(8*6.5*0.15))</f>
        <v>-19.256</v>
      </c>
      <c r="G34" s="3115"/>
      <c r="H34" s="4201"/>
      <c r="I34" s="3118"/>
    </row>
    <row r="35" spans="1:256" s="2317" customFormat="1" ht="27" customHeight="1">
      <c r="A35" s="3112"/>
      <c r="B35" s="3114"/>
      <c r="C35" s="3114"/>
      <c r="D35" s="3116" t="s">
        <v>7191</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7192</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7193</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10538</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10539</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6944</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7101</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7102</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7103</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7194</v>
      </c>
      <c r="D68" s="3183" t="s">
        <v>7195</v>
      </c>
      <c r="E68" s="3183" t="s">
        <v>221</v>
      </c>
      <c r="F68" s="3080">
        <f>ROUND(SUM(F69),3)</f>
        <v>3.8159999999999998</v>
      </c>
      <c r="G68" s="3184"/>
      <c r="H68" s="3942">
        <f>ROUND(F68*G68,2)</f>
        <v>0</v>
      </c>
      <c r="I68" s="3187" t="s">
        <v>60</v>
      </c>
      <c r="J68" s="2444"/>
    </row>
    <row r="69" spans="1:256" s="933" customFormat="1" ht="13.5" customHeight="1">
      <c r="A69" s="3181"/>
      <c r="B69" s="3182"/>
      <c r="C69" s="3183"/>
      <c r="D69" s="3185" t="s">
        <v>7196</v>
      </c>
      <c r="E69" s="3183"/>
      <c r="F69" s="3306">
        <f>((2.8+2.5)*7.2)*0.1</f>
        <v>3.8159999999999998</v>
      </c>
      <c r="G69" s="3184"/>
      <c r="H69" s="4192"/>
      <c r="I69" s="3187"/>
      <c r="J69" s="2444"/>
    </row>
    <row r="70" spans="1:256" s="2452" customFormat="1" ht="13.5" customHeight="1">
      <c r="A70" s="3181">
        <v>17</v>
      </c>
      <c r="B70" s="3182" t="s">
        <v>911</v>
      </c>
      <c r="C70" s="3183">
        <v>273321411</v>
      </c>
      <c r="D70" s="3183" t="s">
        <v>7197</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7198</v>
      </c>
      <c r="E71" s="3309"/>
      <c r="F71" s="3306"/>
      <c r="G71" s="3310"/>
      <c r="H71" s="4212"/>
      <c r="I71" s="3311"/>
      <c r="J71" s="2489"/>
      <c r="M71" s="2491"/>
    </row>
    <row r="72" spans="1:256" s="2452" customFormat="1" ht="13.5" customHeight="1">
      <c r="A72" s="3181"/>
      <c r="B72" s="3182"/>
      <c r="C72" s="3183"/>
      <c r="D72" s="3309" t="s">
        <v>7199</v>
      </c>
      <c r="E72" s="3183"/>
      <c r="F72" s="3306">
        <f>((8*6.5)*0.15)*1.05</f>
        <v>8.19</v>
      </c>
      <c r="G72" s="3184"/>
      <c r="H72" s="4192"/>
      <c r="I72" s="3187"/>
      <c r="J72" s="2444"/>
      <c r="M72" s="2488"/>
    </row>
    <row r="73" spans="1:256" s="933" customFormat="1" ht="27" customHeight="1">
      <c r="A73" s="3312"/>
      <c r="B73" s="3313"/>
      <c r="C73" s="3314"/>
      <c r="D73" s="3185" t="s">
        <v>7200</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7201</v>
      </c>
      <c r="E75" s="3183"/>
      <c r="F75" s="3317"/>
      <c r="G75" s="3184"/>
      <c r="H75" s="4192"/>
      <c r="I75" s="3187"/>
      <c r="J75" s="2444"/>
    </row>
    <row r="76" spans="1:256" s="2491" customFormat="1" ht="13.5" customHeight="1">
      <c r="A76" s="3307"/>
      <c r="B76" s="3308"/>
      <c r="C76" s="3309"/>
      <c r="D76" s="3309" t="s">
        <v>7202</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7203</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7204</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7205</v>
      </c>
      <c r="E80" s="3183" t="s">
        <v>221</v>
      </c>
      <c r="F80" s="3080">
        <f>ROUND(SUM(F82:F83),3)</f>
        <v>12.029</v>
      </c>
      <c r="G80" s="3184"/>
      <c r="H80" s="3942">
        <f>ROUND(F80*G80,2)</f>
        <v>0</v>
      </c>
      <c r="I80" s="3187" t="s">
        <v>142</v>
      </c>
      <c r="J80" s="2444"/>
    </row>
    <row r="81" spans="1:23" s="2452" customFormat="1" ht="13.5" customHeight="1">
      <c r="A81" s="3181"/>
      <c r="B81" s="3182"/>
      <c r="C81" s="3183"/>
      <c r="D81" s="3324" t="s">
        <v>7206</v>
      </c>
      <c r="E81" s="3309"/>
      <c r="F81" s="3306"/>
      <c r="G81" s="3310"/>
      <c r="H81" s="4212"/>
      <c r="I81" s="3311"/>
      <c r="J81" s="2444"/>
      <c r="M81" s="2488"/>
    </row>
    <row r="82" spans="1:23" s="933" customFormat="1" ht="13.5" customHeight="1">
      <c r="A82" s="3181"/>
      <c r="B82" s="3182"/>
      <c r="C82" s="3183"/>
      <c r="D82" s="3185" t="s">
        <v>7207</v>
      </c>
      <c r="E82" s="3183"/>
      <c r="F82" s="3188">
        <f>((8*2+6.1*2)*0.4*0.8)*1.05</f>
        <v>9.475200000000001</v>
      </c>
      <c r="G82" s="3184"/>
      <c r="H82" s="4192"/>
      <c r="I82" s="3231"/>
      <c r="J82" s="2444"/>
    </row>
    <row r="83" spans="1:23" s="933" customFormat="1" ht="13.5" customHeight="1">
      <c r="A83" s="3181"/>
      <c r="B83" s="3182"/>
      <c r="C83" s="3183"/>
      <c r="D83" s="3185" t="s">
        <v>7208</v>
      </c>
      <c r="E83" s="3183"/>
      <c r="F83" s="3188">
        <f>((7.6)*0.4*0.8)*1.05</f>
        <v>2.5536000000000003</v>
      </c>
      <c r="G83" s="3184"/>
      <c r="H83" s="4192"/>
      <c r="I83" s="3231"/>
      <c r="J83" s="2444"/>
    </row>
    <row r="84" spans="1:23" s="933" customFormat="1" ht="27" customHeight="1">
      <c r="A84" s="3312"/>
      <c r="B84" s="3313"/>
      <c r="C84" s="3314"/>
      <c r="D84" s="3185" t="s">
        <v>7200</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7209</v>
      </c>
      <c r="E86" s="3093"/>
      <c r="F86" s="3226">
        <f>((6.5*2+8*2)*0.8)*2</f>
        <v>46.400000000000006</v>
      </c>
      <c r="G86" s="3326"/>
      <c r="H86" s="4214"/>
      <c r="I86" s="3327"/>
      <c r="K86" s="1224"/>
      <c r="O86" s="595"/>
    </row>
    <row r="87" spans="1:23" s="1230" customFormat="1" ht="13.5" customHeight="1">
      <c r="A87" s="3325"/>
      <c r="B87" s="3093"/>
      <c r="C87" s="3093"/>
      <c r="D87" s="3093" t="s">
        <v>7210</v>
      </c>
      <c r="E87" s="3093"/>
      <c r="F87" s="3226">
        <f>(6.1*2)*0.8</f>
        <v>9.76</v>
      </c>
      <c r="G87" s="3326"/>
      <c r="H87" s="4214"/>
      <c r="I87" s="3327"/>
      <c r="J87" s="4638"/>
    </row>
    <row r="88" spans="1:23" s="933" customFormat="1" ht="13.5" customHeight="1">
      <c r="A88" s="3181">
        <v>23</v>
      </c>
      <c r="B88" s="3182" t="s">
        <v>911</v>
      </c>
      <c r="C88" s="3183">
        <v>274351122</v>
      </c>
      <c r="D88" s="3183" t="s">
        <v>5985</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4151</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7111</v>
      </c>
      <c r="E91" s="3183"/>
      <c r="F91" s="3186"/>
      <c r="G91" s="3184"/>
      <c r="H91" s="4192"/>
      <c r="I91" s="3187"/>
      <c r="J91" s="2444"/>
      <c r="L91" s="2445"/>
    </row>
    <row r="92" spans="1:23" s="2447" customFormat="1" ht="13.5" customHeight="1">
      <c r="A92" s="3181"/>
      <c r="B92" s="3182"/>
      <c r="C92" s="3183"/>
      <c r="D92" s="3185" t="s">
        <v>7211</v>
      </c>
      <c r="E92" s="3183"/>
      <c r="F92" s="3188">
        <f>((6.5*2+8*2)*0.5)*1.05</f>
        <v>15.225000000000001</v>
      </c>
      <c r="G92" s="3184"/>
      <c r="H92" s="4192"/>
      <c r="I92" s="3180"/>
      <c r="J92" s="2446"/>
      <c r="L92" s="2445"/>
      <c r="M92" s="933"/>
    </row>
    <row r="93" spans="1:23" s="2447" customFormat="1" ht="13.5" customHeight="1">
      <c r="A93" s="3181"/>
      <c r="B93" s="3182"/>
      <c r="C93" s="3183"/>
      <c r="D93" s="3185" t="s">
        <v>7212</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7213</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7214</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7215</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7216</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7217</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7218</v>
      </c>
      <c r="E102" s="3343"/>
      <c r="F102" s="782"/>
      <c r="G102" s="3344"/>
      <c r="H102" s="4217"/>
      <c r="I102" s="3345"/>
      <c r="J102" s="171"/>
      <c r="U102" s="159"/>
      <c r="W102" s="159"/>
    </row>
    <row r="103" spans="1:23" s="158" customFormat="1" ht="13.5" customHeight="1">
      <c r="A103" s="3339"/>
      <c r="B103" s="3340"/>
      <c r="C103" s="3341"/>
      <c r="D103" s="3342" t="s">
        <v>7219</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7220</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7221</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7222</v>
      </c>
      <c r="E106" s="3330" t="s">
        <v>155</v>
      </c>
      <c r="F106" s="3080">
        <f>ROUND(SUM(F108),3)</f>
        <v>1</v>
      </c>
      <c r="G106" s="3331"/>
      <c r="H106" s="3942">
        <f>ROUND(F106*G106,2)</f>
        <v>0</v>
      </c>
      <c r="I106" s="3332" t="s">
        <v>60</v>
      </c>
      <c r="J106" s="1284"/>
    </row>
    <row r="107" spans="1:23" s="120" customFormat="1" ht="13.5" customHeight="1">
      <c r="A107" s="3329"/>
      <c r="B107" s="3330"/>
      <c r="C107" s="3330"/>
      <c r="D107" s="3342" t="s">
        <v>7223</v>
      </c>
      <c r="E107" s="3330"/>
      <c r="F107" s="3346"/>
      <c r="G107" s="3331"/>
      <c r="H107" s="4218"/>
      <c r="I107" s="3332"/>
      <c r="J107" s="1284"/>
    </row>
    <row r="108" spans="1:23" s="1291" customFormat="1" ht="13.5" customHeight="1">
      <c r="A108" s="3090"/>
      <c r="B108" s="3091"/>
      <c r="C108" s="3092"/>
      <c r="D108" s="3342" t="s">
        <v>7224</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7225</v>
      </c>
      <c r="D110" s="3330" t="s">
        <v>7226</v>
      </c>
      <c r="E110" s="3330" t="s">
        <v>155</v>
      </c>
      <c r="F110" s="3080">
        <f>ROUND(SUM(F112),3)</f>
        <v>1</v>
      </c>
      <c r="G110" s="3331"/>
      <c r="H110" s="3942">
        <f>ROUND(F110*G110,2)</f>
        <v>0</v>
      </c>
      <c r="I110" s="3332" t="s">
        <v>60</v>
      </c>
      <c r="J110" s="1284"/>
    </row>
    <row r="111" spans="1:23" s="120" customFormat="1" ht="13.5" customHeight="1">
      <c r="A111" s="3329"/>
      <c r="B111" s="3330"/>
      <c r="C111" s="3330"/>
      <c r="D111" s="3342" t="s">
        <v>7227</v>
      </c>
      <c r="E111" s="3330"/>
      <c r="F111" s="3346"/>
      <c r="G111" s="3331"/>
      <c r="H111" s="4218"/>
      <c r="I111" s="3332"/>
      <c r="J111" s="1284"/>
    </row>
    <row r="112" spans="1:23" s="1291" customFormat="1" ht="13.5" customHeight="1">
      <c r="A112" s="3090"/>
      <c r="B112" s="3091"/>
      <c r="C112" s="3092"/>
      <c r="D112" s="3342" t="s">
        <v>7224</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7228</v>
      </c>
      <c r="E115" s="3330"/>
      <c r="F115" s="3346"/>
      <c r="G115" s="3331"/>
      <c r="H115" s="4218"/>
      <c r="I115" s="3332"/>
      <c r="J115" s="1284"/>
    </row>
    <row r="116" spans="1:23" s="1291" customFormat="1" ht="13.5" customHeight="1">
      <c r="A116" s="3090"/>
      <c r="B116" s="3091"/>
      <c r="C116" s="3092"/>
      <c r="D116" s="3342" t="s">
        <v>7229</v>
      </c>
      <c r="E116" s="3343"/>
      <c r="F116" s="3188">
        <f>(3.4+1.5)*1.1</f>
        <v>5.3900000000000006</v>
      </c>
      <c r="G116" s="3095"/>
      <c r="H116" s="4031"/>
      <c r="I116" s="3332"/>
      <c r="J116" s="1290"/>
      <c r="U116" s="1292"/>
      <c r="W116" s="1292"/>
    </row>
    <row r="117" spans="1:23" s="1291" customFormat="1" ht="27" customHeight="1">
      <c r="A117" s="3090"/>
      <c r="B117" s="3091"/>
      <c r="C117" s="3092"/>
      <c r="D117" s="3342" t="s">
        <v>7230</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7121</v>
      </c>
      <c r="C119" s="3225" t="s">
        <v>7231</v>
      </c>
      <c r="D119" s="3225" t="s">
        <v>7232</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7233</v>
      </c>
      <c r="E120" s="3225"/>
      <c r="F120" s="3226">
        <f>(61.59)</f>
        <v>61.59</v>
      </c>
      <c r="G120" s="3184"/>
      <c r="H120" s="4191"/>
      <c r="I120" s="3187"/>
      <c r="J120" s="2451"/>
      <c r="K120" s="2450"/>
      <c r="L120" s="2450"/>
      <c r="M120" s="2448"/>
    </row>
    <row r="121" spans="1:23" s="906" customFormat="1" ht="13.5" customHeight="1">
      <c r="A121" s="3223"/>
      <c r="B121" s="3224"/>
      <c r="C121" s="3225"/>
      <c r="D121" s="3093" t="s">
        <v>7234</v>
      </c>
      <c r="E121" s="3225"/>
      <c r="F121" s="3226">
        <f>(0.002)</f>
        <v>2E-3</v>
      </c>
      <c r="G121" s="3184"/>
      <c r="H121" s="4191"/>
      <c r="I121" s="3187"/>
      <c r="J121" s="2451"/>
      <c r="K121" s="2450"/>
      <c r="L121" s="2450"/>
      <c r="M121" s="2448"/>
    </row>
    <row r="122" spans="1:23" s="2452" customFormat="1" ht="13.5" customHeight="1">
      <c r="A122" s="3230">
        <v>32</v>
      </c>
      <c r="B122" s="3182" t="s">
        <v>188</v>
      </c>
      <c r="C122" s="3183" t="s">
        <v>7125</v>
      </c>
      <c r="D122" s="3183" t="s">
        <v>7126</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7235</v>
      </c>
      <c r="E127" s="3183"/>
      <c r="F127" s="3186"/>
      <c r="G127" s="3349"/>
      <c r="H127" s="4192"/>
      <c r="I127" s="3231"/>
      <c r="J127" s="2496"/>
    </row>
    <row r="128" spans="1:23" s="939" customFormat="1" ht="40.5" customHeight="1">
      <c r="A128" s="3350"/>
      <c r="B128" s="3182"/>
      <c r="C128" s="3183"/>
      <c r="D128" s="3351" t="s">
        <v>7236</v>
      </c>
      <c r="E128" s="3185"/>
      <c r="F128" s="3188"/>
      <c r="G128" s="3322"/>
      <c r="H128" s="4213"/>
      <c r="I128" s="3231"/>
      <c r="J128" s="2495"/>
    </row>
    <row r="129" spans="1:17" s="933" customFormat="1" ht="13.5" customHeight="1">
      <c r="A129" s="3352" t="s">
        <v>7237</v>
      </c>
      <c r="B129" s="3353"/>
      <c r="C129" s="3354" t="s">
        <v>1879</v>
      </c>
      <c r="D129" s="3309" t="s">
        <v>7238</v>
      </c>
      <c r="E129" s="3355" t="s">
        <v>611</v>
      </c>
      <c r="F129" s="3356">
        <f>F126</f>
        <v>52</v>
      </c>
      <c r="G129" s="3357"/>
      <c r="H129" s="4186">
        <f>ROUND(F129*G129,2)</f>
        <v>0</v>
      </c>
      <c r="I129" s="3358" t="s">
        <v>60</v>
      </c>
      <c r="J129" s="2444"/>
      <c r="K129" s="2442"/>
    </row>
    <row r="130" spans="1:17" s="933" customFormat="1" ht="13.5" customHeight="1">
      <c r="A130" s="3359" t="s">
        <v>7239</v>
      </c>
      <c r="B130" s="3360"/>
      <c r="C130" s="3361" t="s">
        <v>7240</v>
      </c>
      <c r="D130" s="3362" t="s">
        <v>7241</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7242</v>
      </c>
      <c r="E131" s="3185"/>
      <c r="F131" s="3188"/>
      <c r="G131" s="3322"/>
      <c r="H131" s="4213"/>
      <c r="I131" s="3231"/>
    </row>
    <row r="132" spans="1:17" s="933" customFormat="1" ht="13.5" customHeight="1">
      <c r="A132" s="3352" t="s">
        <v>7243</v>
      </c>
      <c r="B132" s="3353"/>
      <c r="C132" s="3354" t="s">
        <v>1884</v>
      </c>
      <c r="D132" s="3309" t="s">
        <v>7244</v>
      </c>
      <c r="E132" s="3355" t="s">
        <v>611</v>
      </c>
      <c r="F132" s="3356">
        <f>F126</f>
        <v>52</v>
      </c>
      <c r="G132" s="3357"/>
      <c r="H132" s="4186">
        <f>ROUND(F132*G132,2)</f>
        <v>0</v>
      </c>
      <c r="I132" s="3358" t="s">
        <v>60</v>
      </c>
      <c r="J132" s="2444"/>
      <c r="K132" s="2442"/>
    </row>
    <row r="133" spans="1:17" s="933" customFormat="1" ht="13.5" customHeight="1">
      <c r="A133" s="3359" t="s">
        <v>7245</v>
      </c>
      <c r="B133" s="3360"/>
      <c r="C133" s="3361">
        <v>11163150</v>
      </c>
      <c r="D133" s="3362" t="s">
        <v>7246</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7247</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7248</v>
      </c>
      <c r="E137" s="3183"/>
      <c r="F137" s="3186"/>
      <c r="G137" s="3349"/>
      <c r="H137" s="4192"/>
      <c r="I137" s="3231"/>
      <c r="J137" s="2496"/>
      <c r="K137" s="956"/>
    </row>
    <row r="138" spans="1:17" s="939" customFormat="1" ht="40.5" customHeight="1">
      <c r="A138" s="3350"/>
      <c r="B138" s="3182"/>
      <c r="C138" s="3183"/>
      <c r="D138" s="3351" t="s">
        <v>7249</v>
      </c>
      <c r="E138" s="3185"/>
      <c r="F138" s="3188"/>
      <c r="G138" s="3322"/>
      <c r="H138" s="4213"/>
      <c r="I138" s="3231"/>
      <c r="J138" s="2495"/>
    </row>
    <row r="139" spans="1:17" s="933" customFormat="1" ht="13.5" customHeight="1">
      <c r="A139" s="3352" t="s">
        <v>267</v>
      </c>
      <c r="B139" s="3353"/>
      <c r="C139" s="3354" t="s">
        <v>1893</v>
      </c>
      <c r="D139" s="3309" t="s">
        <v>7250</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7240</v>
      </c>
      <c r="D140" s="3362" t="s">
        <v>7251</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7252</v>
      </c>
      <c r="E141" s="3185"/>
      <c r="F141" s="3188"/>
      <c r="G141" s="3322"/>
      <c r="H141" s="4213"/>
      <c r="I141" s="3231"/>
    </row>
    <row r="142" spans="1:17" s="933" customFormat="1" ht="13.5" customHeight="1">
      <c r="A142" s="3352" t="s">
        <v>271</v>
      </c>
      <c r="B142" s="3353"/>
      <c r="C142" s="3354" t="s">
        <v>7253</v>
      </c>
      <c r="D142" s="3309" t="s">
        <v>7254</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7255</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7256</v>
      </c>
      <c r="E144" s="3314"/>
      <c r="F144" s="3369">
        <f>(8*2+6.5*2)*0.15</f>
        <v>4.3499999999999996</v>
      </c>
      <c r="G144" s="3316"/>
      <c r="H144" s="4192"/>
      <c r="I144" s="3347"/>
      <c r="J144" s="5944"/>
      <c r="K144" s="5945"/>
      <c r="L144" s="5945"/>
      <c r="M144" s="5945"/>
      <c r="N144" s="5945"/>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6239</v>
      </c>
      <c r="E150" s="3190"/>
      <c r="F150" s="3191"/>
      <c r="G150" s="3328"/>
      <c r="H150" s="4215">
        <f>SUM(H151:H170)</f>
        <v>0</v>
      </c>
      <c r="I150" s="3374"/>
    </row>
    <row r="151" spans="1:121" s="1346" customFormat="1" ht="13.5" customHeight="1">
      <c r="A151" s="3375">
        <v>37</v>
      </c>
      <c r="B151" s="3108">
        <v>721</v>
      </c>
      <c r="C151" s="3108">
        <v>721173401</v>
      </c>
      <c r="D151" s="3108" t="s">
        <v>6240</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6241</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7257</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10482</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6258</v>
      </c>
      <c r="E156" s="3110"/>
      <c r="F156" s="4593"/>
      <c r="G156" s="4594"/>
      <c r="H156" s="4220"/>
      <c r="I156" s="4412"/>
      <c r="O156" s="4645"/>
      <c r="R156" s="4646"/>
    </row>
    <row r="157" spans="1:121" s="1346" customFormat="1" ht="13.5" customHeight="1">
      <c r="A157" s="3216"/>
      <c r="B157" s="3108"/>
      <c r="C157" s="3110"/>
      <c r="D157" s="3110" t="s">
        <v>10486</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6260</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6258</v>
      </c>
      <c r="E160" s="3110"/>
      <c r="F160" s="4593"/>
      <c r="G160" s="4594"/>
      <c r="H160" s="4220"/>
      <c r="I160" s="4412"/>
      <c r="O160" s="4645"/>
      <c r="R160" s="4646"/>
    </row>
    <row r="161" spans="1:121" s="1346" customFormat="1" ht="13.5" customHeight="1">
      <c r="A161" s="3216"/>
      <c r="B161" s="3108"/>
      <c r="C161" s="3110"/>
      <c r="D161" s="3110" t="s">
        <v>10483</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6383</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10485</v>
      </c>
      <c r="E164" s="3212"/>
      <c r="F164" s="3214">
        <f>(0.5)</f>
        <v>0.5</v>
      </c>
      <c r="G164" s="3109"/>
      <c r="H164" s="4187"/>
      <c r="I164" s="3083"/>
      <c r="J164" s="2507"/>
      <c r="K164" s="2507"/>
      <c r="R164" s="4646"/>
    </row>
    <row r="165" spans="1:121" s="1346" customFormat="1" ht="13.5" customHeight="1">
      <c r="A165" s="3216"/>
      <c r="B165" s="3108"/>
      <c r="C165" s="3108"/>
      <c r="D165" s="3110" t="s">
        <v>10484</v>
      </c>
      <c r="E165" s="3212"/>
      <c r="F165" s="3214">
        <f>(1.5)</f>
        <v>1.5</v>
      </c>
      <c r="G165" s="3109"/>
      <c r="H165" s="4187"/>
      <c r="I165" s="3083"/>
      <c r="J165" s="2507"/>
      <c r="K165" s="2507"/>
      <c r="R165" s="4646"/>
    </row>
    <row r="166" spans="1:121" s="1346" customFormat="1" ht="13.5" customHeight="1">
      <c r="A166" s="3216"/>
      <c r="B166" s="3108"/>
      <c r="C166" s="3108"/>
      <c r="D166" s="3110" t="s">
        <v>7258</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7259</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6542</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6543</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6544</v>
      </c>
      <c r="E171" s="3388"/>
      <c r="F171" s="3389"/>
      <c r="G171" s="3390"/>
      <c r="H171" s="4221">
        <f>SUM(H172:H173,H176:H179,H182:H201)</f>
        <v>0</v>
      </c>
      <c r="I171" s="3391"/>
      <c r="J171" s="4649"/>
    </row>
    <row r="172" spans="1:121" s="245" customFormat="1" ht="27" customHeight="1">
      <c r="A172" s="3393">
        <v>43</v>
      </c>
      <c r="B172" s="3394">
        <v>721</v>
      </c>
      <c r="C172" s="3394" t="s">
        <v>7260</v>
      </c>
      <c r="D172" s="3394" t="s">
        <v>7261</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7262</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7260</v>
      </c>
      <c r="D174" s="3397" t="s">
        <v>7263</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7264</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7265</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7266</v>
      </c>
      <c r="D178" s="3394" t="s">
        <v>7267</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7262</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7266</v>
      </c>
      <c r="D180" s="3397" t="s">
        <v>7268</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7269</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7265</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6764</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6765</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7270</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7271</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7272</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6780</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7273</v>
      </c>
      <c r="D190" s="3282" t="s">
        <v>6731</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7274</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7275</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6729</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7273</v>
      </c>
      <c r="D194" s="3282" t="s">
        <v>7276</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7277</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7275</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7278</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7279</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6788</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6543</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6789</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6790</v>
      </c>
      <c r="D203" s="3431" t="s">
        <v>7280</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6808</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7281</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6805</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6794</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6852</v>
      </c>
      <c r="D208" s="3282" t="s">
        <v>7282</v>
      </c>
      <c r="E208" s="3282" t="s">
        <v>155</v>
      </c>
      <c r="F208" s="3080">
        <f>ROUND(SUM(F209),3)</f>
        <v>1</v>
      </c>
      <c r="G208" s="5918" t="s">
        <v>11555</v>
      </c>
      <c r="H208" s="5919"/>
      <c r="I208" s="3433" t="s">
        <v>60</v>
      </c>
      <c r="J208" s="4669"/>
      <c r="K208" s="4670"/>
      <c r="P208" s="4671"/>
    </row>
    <row r="209" spans="1:123" s="3337" customFormat="1" ht="13.5" customHeight="1">
      <c r="A209" s="3408"/>
      <c r="B209" s="3282"/>
      <c r="C209" s="3282"/>
      <c r="D209" s="3287" t="s">
        <v>7283</v>
      </c>
      <c r="E209" s="3282"/>
      <c r="F209" s="3291">
        <v>1</v>
      </c>
      <c r="G209" s="3409"/>
      <c r="H209" s="4208"/>
      <c r="I209" s="3089"/>
      <c r="P209" s="4671"/>
    </row>
    <row r="210" spans="1:123" s="3337" customFormat="1" ht="13.5" customHeight="1">
      <c r="A210" s="3408"/>
      <c r="B210" s="3282"/>
      <c r="C210" s="3282"/>
      <c r="D210" s="3287" t="s">
        <v>7284</v>
      </c>
      <c r="E210" s="3282"/>
      <c r="F210" s="3291"/>
      <c r="G210" s="3409"/>
      <c r="H210" s="4208"/>
      <c r="I210" s="3089"/>
      <c r="J210" s="4672"/>
      <c r="W210" s="2510"/>
    </row>
    <row r="211" spans="1:123" s="3337" customFormat="1" ht="40.5" customHeight="1">
      <c r="A211" s="3446"/>
      <c r="B211" s="3446"/>
      <c r="C211" s="3287"/>
      <c r="D211" s="3287" t="s">
        <v>7285</v>
      </c>
      <c r="E211" s="3287"/>
      <c r="F211" s="3291"/>
      <c r="G211" s="3447"/>
      <c r="H211" s="4209"/>
      <c r="I211" s="3089"/>
      <c r="J211" s="2510"/>
      <c r="N211" s="2510"/>
    </row>
    <row r="212" spans="1:123" s="3337" customFormat="1" ht="27" customHeight="1">
      <c r="A212" s="3446"/>
      <c r="B212" s="3446"/>
      <c r="C212" s="3287"/>
      <c r="D212" s="3287" t="s">
        <v>7286</v>
      </c>
      <c r="E212" s="3287"/>
      <c r="F212" s="3291"/>
      <c r="G212" s="3447"/>
      <c r="H212" s="4209"/>
      <c r="I212" s="3448"/>
      <c r="J212" s="168"/>
      <c r="P212" s="4673"/>
    </row>
    <row r="213" spans="1:123" s="2514" customFormat="1" ht="13.5" customHeight="1">
      <c r="A213" s="3422">
        <v>52</v>
      </c>
      <c r="B213" s="3449" t="s">
        <v>1007</v>
      </c>
      <c r="C213" s="3424">
        <v>998725201</v>
      </c>
      <c r="D213" s="3424" t="s">
        <v>7287</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6919</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7127</v>
      </c>
      <c r="E217" s="3459"/>
      <c r="F217" s="3460"/>
      <c r="G217" s="3461"/>
      <c r="H217" s="4194">
        <f>SUM(H218:H294)</f>
        <v>0</v>
      </c>
      <c r="I217" s="3462"/>
    </row>
    <row r="218" spans="1:123" s="3286" customFormat="1" ht="13.5" customHeight="1">
      <c r="A218" s="3237">
        <v>54</v>
      </c>
      <c r="B218" s="3463">
        <v>741</v>
      </c>
      <c r="C218" s="3463" t="s">
        <v>7128</v>
      </c>
      <c r="D218" s="3463" t="s">
        <v>7129</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7130</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7281</v>
      </c>
      <c r="E220" s="3464"/>
      <c r="F220" s="3467">
        <v>6</v>
      </c>
      <c r="G220" s="3468"/>
      <c r="H220" s="4119"/>
      <c r="I220" s="3465"/>
      <c r="J220" s="3296"/>
      <c r="M220" s="3470"/>
      <c r="Q220" s="3471"/>
      <c r="S220" s="3471"/>
    </row>
    <row r="221" spans="1:123" s="3286" customFormat="1" ht="13.5" customHeight="1">
      <c r="A221" s="3237"/>
      <c r="B221" s="3463"/>
      <c r="C221" s="3463"/>
      <c r="D221" s="3466" t="s">
        <v>7132</v>
      </c>
      <c r="E221" s="3464"/>
      <c r="F221" s="3467"/>
      <c r="G221" s="3468"/>
      <c r="H221" s="4119"/>
      <c r="I221" s="3465"/>
      <c r="J221" s="4677"/>
      <c r="K221" s="4677"/>
      <c r="M221" s="3470"/>
      <c r="Q221" s="3471"/>
    </row>
    <row r="222" spans="1:123" s="3473" customFormat="1" ht="13.5" customHeight="1">
      <c r="A222" s="3472">
        <v>55</v>
      </c>
      <c r="B222" s="3463">
        <v>741</v>
      </c>
      <c r="C222" s="3463" t="s">
        <v>7288</v>
      </c>
      <c r="D222" s="3463" t="s">
        <v>7289</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7290</v>
      </c>
      <c r="E223" s="3464"/>
      <c r="F223" s="3475"/>
      <c r="G223" s="3468"/>
      <c r="H223" s="4229"/>
      <c r="I223" s="3465"/>
      <c r="J223" s="2460"/>
      <c r="K223" s="2461"/>
      <c r="L223" s="3286"/>
      <c r="W223" s="2463"/>
    </row>
    <row r="224" spans="1:123" s="3473" customFormat="1" ht="13.5" customHeight="1">
      <c r="A224" s="3477"/>
      <c r="B224" s="3463"/>
      <c r="C224" s="3463"/>
      <c r="D224" s="3287" t="s">
        <v>7281</v>
      </c>
      <c r="E224" s="3463"/>
      <c r="F224" s="3475">
        <v>3</v>
      </c>
      <c r="G224" s="3468"/>
      <c r="H224" s="4229"/>
      <c r="I224" s="3465"/>
      <c r="J224" s="3286"/>
      <c r="L224" s="3286"/>
      <c r="W224" s="2463"/>
    </row>
    <row r="225" spans="1:23" s="3473" customFormat="1" ht="13.5" customHeight="1">
      <c r="A225" s="3472"/>
      <c r="B225" s="3463"/>
      <c r="C225" s="3463"/>
      <c r="D225" s="3474" t="s">
        <v>7291</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7292</v>
      </c>
      <c r="D226" s="3463" t="s">
        <v>7293</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7294</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7281</v>
      </c>
      <c r="E228" s="3463"/>
      <c r="F228" s="3475">
        <v>19</v>
      </c>
      <c r="G228" s="3468"/>
      <c r="H228" s="4229"/>
      <c r="I228" s="3465"/>
      <c r="M228" s="3482"/>
    </row>
    <row r="229" spans="1:23" s="3473" customFormat="1" ht="13.5" customHeight="1">
      <c r="A229" s="3472"/>
      <c r="B229" s="3463"/>
      <c r="C229" s="3463"/>
      <c r="D229" s="3466" t="s">
        <v>7295</v>
      </c>
      <c r="E229" s="3464"/>
      <c r="F229" s="3475"/>
      <c r="G229" s="3468"/>
      <c r="H229" s="4229"/>
      <c r="I229" s="3465"/>
      <c r="J229" s="4677"/>
      <c r="K229" s="4677"/>
      <c r="M229" s="3482"/>
    </row>
    <row r="230" spans="1:23" s="3473" customFormat="1" ht="13.5" customHeight="1">
      <c r="A230" s="3237">
        <v>57</v>
      </c>
      <c r="B230" s="3463">
        <v>741</v>
      </c>
      <c r="C230" s="3463" t="s">
        <v>7296</v>
      </c>
      <c r="D230" s="3463" t="s">
        <v>7297</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7298</v>
      </c>
      <c r="E231" s="3464"/>
      <c r="F231" s="3481"/>
      <c r="G231" s="3468"/>
      <c r="H231" s="4229"/>
      <c r="I231" s="3465"/>
      <c r="J231" s="2528"/>
      <c r="W231" s="2460"/>
    </row>
    <row r="232" spans="1:23" s="3473" customFormat="1" ht="13.5" customHeight="1">
      <c r="A232" s="3472"/>
      <c r="B232" s="3463"/>
      <c r="C232" s="3463"/>
      <c r="D232" s="3287" t="s">
        <v>7281</v>
      </c>
      <c r="E232" s="3463"/>
      <c r="F232" s="3475">
        <v>2</v>
      </c>
      <c r="G232" s="3468"/>
      <c r="H232" s="4229"/>
      <c r="I232" s="3465"/>
      <c r="J232" s="337"/>
      <c r="M232" s="3482"/>
    </row>
    <row r="233" spans="1:23" s="3473" customFormat="1" ht="13.5" customHeight="1">
      <c r="A233" s="3472"/>
      <c r="B233" s="3463"/>
      <c r="C233" s="3463"/>
      <c r="D233" s="3466" t="s">
        <v>7295</v>
      </c>
      <c r="F233" s="3483"/>
      <c r="G233" s="3468"/>
      <c r="H233" s="4229"/>
      <c r="I233" s="3465"/>
      <c r="J233" s="4677"/>
      <c r="K233" s="4677"/>
      <c r="M233" s="3482"/>
    </row>
    <row r="234" spans="1:23" s="3473" customFormat="1" ht="13.5" customHeight="1">
      <c r="A234" s="3484">
        <v>58</v>
      </c>
      <c r="B234" s="3463">
        <v>741</v>
      </c>
      <c r="C234" s="3463" t="s">
        <v>7134</v>
      </c>
      <c r="D234" s="3463" t="s">
        <v>7135</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7136</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7137</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7299</v>
      </c>
      <c r="D237" s="3463" t="s">
        <v>7300</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7136</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7137</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7301</v>
      </c>
      <c r="D240" s="3463" t="s">
        <v>7302</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7136</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7137</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7138</v>
      </c>
      <c r="D243" s="3463" t="s">
        <v>7303</v>
      </c>
      <c r="E243" s="3463" t="s">
        <v>23</v>
      </c>
      <c r="F243" s="3080">
        <f>ROUND(SUM(F245),3)</f>
        <v>1</v>
      </c>
      <c r="G243" s="3468"/>
      <c r="H243" s="3942">
        <f>ROUND(F243*G243,2)</f>
        <v>0</v>
      </c>
      <c r="I243" s="3465" t="s">
        <v>60</v>
      </c>
      <c r="M243" s="3482"/>
    </row>
    <row r="244" spans="1:25" s="3473" customFormat="1" ht="13.5" customHeight="1">
      <c r="A244" s="3237"/>
      <c r="B244" s="3463"/>
      <c r="C244" s="3463"/>
      <c r="D244" s="3466" t="s">
        <v>7304</v>
      </c>
      <c r="E244" s="3463"/>
      <c r="F244" s="3481"/>
      <c r="G244" s="3468"/>
      <c r="H244" s="4119"/>
      <c r="I244" s="3465"/>
      <c r="M244" s="3482"/>
    </row>
    <row r="245" spans="1:25" s="3473" customFormat="1" ht="13.5" customHeight="1">
      <c r="A245" s="3237"/>
      <c r="B245" s="3463"/>
      <c r="C245" s="3463"/>
      <c r="D245" s="3287" t="s">
        <v>7281</v>
      </c>
      <c r="E245" s="3464"/>
      <c r="F245" s="3467">
        <v>1</v>
      </c>
      <c r="G245" s="3468"/>
      <c r="H245" s="4119"/>
      <c r="I245" s="3465"/>
      <c r="M245" s="3482"/>
    </row>
    <row r="246" spans="1:25" s="3473" customFormat="1" ht="27" customHeight="1">
      <c r="A246" s="3237"/>
      <c r="B246" s="3463"/>
      <c r="C246" s="3463"/>
      <c r="D246" s="3494" t="s">
        <v>7141</v>
      </c>
      <c r="E246" s="3463"/>
      <c r="F246" s="3467"/>
      <c r="G246" s="3468"/>
      <c r="H246" s="4119"/>
      <c r="I246" s="3465"/>
      <c r="M246" s="3482"/>
    </row>
    <row r="247" spans="1:25" s="2473" customFormat="1" ht="13.5" customHeight="1">
      <c r="A247" s="3242">
        <v>62</v>
      </c>
      <c r="B247" s="3240">
        <v>741</v>
      </c>
      <c r="C247" s="3240" t="s">
        <v>7142</v>
      </c>
      <c r="D247" s="3243" t="s">
        <v>7306</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7307</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7308</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10115</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7309</v>
      </c>
      <c r="E251" s="3247"/>
      <c r="F251" s="3245"/>
      <c r="G251" s="3248"/>
      <c r="H251" s="4196"/>
      <c r="I251" s="3248"/>
      <c r="J251" s="2472"/>
      <c r="K251" s="2475"/>
      <c r="L251" s="2475"/>
    </row>
    <row r="252" spans="1:25" s="2473" customFormat="1" ht="13.5" customHeight="1">
      <c r="A252" s="3242">
        <v>63</v>
      </c>
      <c r="B252" s="3240">
        <v>741</v>
      </c>
      <c r="C252" s="3240" t="s">
        <v>7146</v>
      </c>
      <c r="D252" s="3243" t="s">
        <v>7311</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7312</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7145</v>
      </c>
      <c r="E254" s="3247"/>
      <c r="F254" s="3245"/>
      <c r="G254" s="3248"/>
      <c r="H254" s="4196"/>
      <c r="I254" s="3239"/>
      <c r="J254" s="2472"/>
      <c r="K254" s="2475"/>
      <c r="L254" s="2475"/>
    </row>
    <row r="255" spans="1:25" s="2473" customFormat="1" ht="13.5" customHeight="1">
      <c r="A255" s="3242">
        <v>64</v>
      </c>
      <c r="B255" s="3240">
        <v>741</v>
      </c>
      <c r="C255" s="3240" t="s">
        <v>7148</v>
      </c>
      <c r="D255" s="3243" t="s">
        <v>7314</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7315</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7316</v>
      </c>
      <c r="E257" s="3247"/>
      <c r="F257" s="3245"/>
      <c r="G257" s="3248"/>
      <c r="H257" s="4196"/>
      <c r="I257" s="3239"/>
      <c r="S257" s="2468"/>
      <c r="W257" s="2468"/>
    </row>
    <row r="258" spans="1:97" s="2473" customFormat="1" ht="13.5" customHeight="1">
      <c r="A258" s="3242">
        <v>65</v>
      </c>
      <c r="B258" s="3240">
        <v>741</v>
      </c>
      <c r="C258" s="3240" t="s">
        <v>7151</v>
      </c>
      <c r="D258" s="3243" t="s">
        <v>7318</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7319</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7316</v>
      </c>
      <c r="E260" s="3247"/>
      <c r="F260" s="3245"/>
      <c r="G260" s="3248"/>
      <c r="H260" s="4196"/>
      <c r="I260" s="3239"/>
    </row>
    <row r="261" spans="1:97" s="2473" customFormat="1" ht="13.5" customHeight="1">
      <c r="A261" s="3242">
        <v>66</v>
      </c>
      <c r="B261" s="3240">
        <v>741</v>
      </c>
      <c r="C261" s="3240" t="s">
        <v>7153</v>
      </c>
      <c r="D261" s="3243" t="s">
        <v>7325</v>
      </c>
      <c r="E261" s="3240" t="s">
        <v>155</v>
      </c>
      <c r="F261" s="3481">
        <f>SUM(F262)</f>
        <v>1</v>
      </c>
      <c r="G261" s="3476"/>
      <c r="H261" s="3942">
        <f>ROUND(F261*G261,2)</f>
        <v>0</v>
      </c>
      <c r="I261" s="3239" t="s">
        <v>60</v>
      </c>
      <c r="W261" s="2463"/>
    </row>
    <row r="262" spans="1:97" s="2473" customFormat="1" ht="13.5" customHeight="1">
      <c r="A262" s="3242"/>
      <c r="B262" s="3240"/>
      <c r="C262" s="3240"/>
      <c r="D262" s="3474" t="s">
        <v>7326</v>
      </c>
      <c r="E262" s="3463"/>
      <c r="F262" s="3475">
        <v>1</v>
      </c>
      <c r="G262" s="3476"/>
      <c r="H262" s="4098"/>
      <c r="I262" s="3239"/>
      <c r="J262" s="2526"/>
      <c r="S262" s="2474"/>
      <c r="W262" s="2468"/>
    </row>
    <row r="263" spans="1:97" s="3473" customFormat="1" ht="13.5" customHeight="1">
      <c r="A263" s="3484"/>
      <c r="B263" s="3463"/>
      <c r="C263" s="3240"/>
      <c r="D263" s="3474" t="s">
        <v>7327</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7156</v>
      </c>
      <c r="D264" s="3243" t="s">
        <v>7157</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7305</v>
      </c>
      <c r="D265" s="3463" t="s">
        <v>7143</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7144</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10116</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7145</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7310</v>
      </c>
      <c r="D269" s="3463" t="s">
        <v>11680</v>
      </c>
      <c r="E269" s="3463" t="s">
        <v>141</v>
      </c>
      <c r="F269" s="3481">
        <f>SUM(F270)</f>
        <v>1.32</v>
      </c>
      <c r="G269" s="5942" t="s">
        <v>11555</v>
      </c>
      <c r="H269" s="5943"/>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7329</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7145</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11681</v>
      </c>
      <c r="D272" s="5600" t="s">
        <v>11678</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7329</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7145</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7313</v>
      </c>
      <c r="D275" s="3241" t="s">
        <v>7149</v>
      </c>
      <c r="E275" s="3463" t="s">
        <v>155</v>
      </c>
      <c r="F275" s="3481">
        <f>SUM(F276)</f>
        <v>15</v>
      </c>
      <c r="G275" s="3468"/>
      <c r="H275" s="3942">
        <f>ROUND(F275*G275,2)</f>
        <v>0</v>
      </c>
      <c r="I275" s="3239" t="s">
        <v>60</v>
      </c>
      <c r="W275" s="2468"/>
    </row>
    <row r="276" spans="1:97" s="3473" customFormat="1" ht="13.5" customHeight="1">
      <c r="A276" s="3484"/>
      <c r="B276" s="3463"/>
      <c r="C276" s="3240"/>
      <c r="D276" s="3474" t="s">
        <v>7150</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7145</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7317</v>
      </c>
      <c r="D278" s="3243" t="s">
        <v>7152</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10112</v>
      </c>
      <c r="E279" s="3240"/>
      <c r="F279" s="3245">
        <v>1</v>
      </c>
      <c r="G279" s="3476"/>
      <c r="H279" s="4119"/>
      <c r="I279" s="3239"/>
      <c r="J279" s="2472"/>
      <c r="S279" s="2474"/>
    </row>
    <row r="280" spans="1:97" s="2473" customFormat="1" ht="13.5" customHeight="1">
      <c r="A280" s="3242">
        <v>72</v>
      </c>
      <c r="B280" s="3240">
        <v>741</v>
      </c>
      <c r="C280" s="3240" t="s">
        <v>7320</v>
      </c>
      <c r="D280" s="3243" t="s">
        <v>7154</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10113</v>
      </c>
      <c r="E281" s="3247"/>
      <c r="F281" s="3245">
        <v>1</v>
      </c>
      <c r="G281" s="3248"/>
      <c r="H281" s="4196"/>
      <c r="I281" s="3248"/>
      <c r="J281" s="2472"/>
      <c r="K281" s="2475"/>
      <c r="L281" s="2475"/>
    </row>
    <row r="282" spans="1:97" s="2473" customFormat="1" ht="13.5" customHeight="1">
      <c r="A282" s="3242">
        <v>73</v>
      </c>
      <c r="B282" s="3240">
        <v>741</v>
      </c>
      <c r="C282" s="3240" t="s">
        <v>7384</v>
      </c>
      <c r="D282" s="3243" t="s">
        <v>7157</v>
      </c>
      <c r="E282" s="3240" t="s">
        <v>23</v>
      </c>
      <c r="F282" s="3249">
        <v>3</v>
      </c>
      <c r="G282" s="3476"/>
      <c r="H282" s="3942">
        <f>ROUND(F282*G282,2)</f>
        <v>0</v>
      </c>
      <c r="I282" s="3239" t="s">
        <v>60</v>
      </c>
      <c r="J282" s="4678"/>
      <c r="S282" s="2474"/>
    </row>
    <row r="283" spans="1:97" s="1494" customFormat="1" ht="13.5" customHeight="1">
      <c r="A283" s="3237">
        <v>74</v>
      </c>
      <c r="B283" s="3250">
        <v>741</v>
      </c>
      <c r="C283" s="3463" t="s">
        <v>7330</v>
      </c>
      <c r="D283" s="3251" t="s">
        <v>7158</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7159</v>
      </c>
      <c r="E284" s="3464"/>
      <c r="F284" s="3475"/>
      <c r="G284" s="3500"/>
      <c r="H284" s="4119"/>
      <c r="I284" s="3465"/>
      <c r="J284" s="2460"/>
      <c r="K284" s="2461"/>
      <c r="Q284" s="2463"/>
    </row>
    <row r="285" spans="1:97" s="1487" customFormat="1" ht="13.5" customHeight="1">
      <c r="A285" s="3237"/>
      <c r="B285" s="3251"/>
      <c r="C285" s="3251"/>
      <c r="D285" s="3474" t="s">
        <v>7281</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7160</v>
      </c>
      <c r="E286" s="3491"/>
      <c r="F286" s="3478"/>
      <c r="G286" s="3500"/>
      <c r="H286" s="4119"/>
      <c r="I286" s="3502"/>
      <c r="J286" s="2522"/>
    </row>
    <row r="287" spans="1:97" s="2560" customFormat="1" ht="81" customHeight="1">
      <c r="A287" s="3242"/>
      <c r="B287" s="3240"/>
      <c r="C287" s="3240"/>
      <c r="D287" s="3252" t="s">
        <v>10117</v>
      </c>
      <c r="E287" s="3240"/>
      <c r="F287" s="3253"/>
      <c r="G287" s="3238"/>
      <c r="H287" s="4098"/>
      <c r="I287" s="3502"/>
      <c r="J287" s="2522"/>
      <c r="K287" s="2563"/>
    </row>
    <row r="288" spans="1:97" s="3473" customFormat="1" ht="13.7" customHeight="1">
      <c r="A288" s="3237">
        <v>75</v>
      </c>
      <c r="B288" s="3250">
        <v>741</v>
      </c>
      <c r="C288" s="3463" t="s">
        <v>7331</v>
      </c>
      <c r="D288" s="3464" t="s">
        <v>7161</v>
      </c>
      <c r="E288" s="3464" t="s">
        <v>23</v>
      </c>
      <c r="F288" s="3080">
        <f>ROUND(SUM(F289),3)</f>
        <v>1</v>
      </c>
      <c r="G288" s="3283"/>
      <c r="H288" s="3942">
        <f>ROUND(F288*G288,2)</f>
        <v>0</v>
      </c>
      <c r="I288" s="3465" t="s">
        <v>60</v>
      </c>
    </row>
    <row r="289" spans="1:97" s="3473" customFormat="1" ht="13.7" customHeight="1">
      <c r="A289" s="3237"/>
      <c r="B289" s="3250"/>
      <c r="C289" s="3251"/>
      <c r="D289" s="3474" t="s">
        <v>7281</v>
      </c>
      <c r="E289" s="3501"/>
      <c r="F289" s="3475">
        <v>1</v>
      </c>
      <c r="G289" s="3500"/>
      <c r="H289" s="4119"/>
      <c r="I289" s="3462"/>
    </row>
    <row r="290" spans="1:97" s="3473" customFormat="1" ht="27" customHeight="1">
      <c r="A290" s="3237"/>
      <c r="B290" s="3250"/>
      <c r="C290" s="3251"/>
      <c r="D290" s="3503" t="s">
        <v>7162</v>
      </c>
      <c r="E290" s="3491"/>
      <c r="F290" s="3475"/>
      <c r="G290" s="3500"/>
      <c r="H290" s="4119"/>
      <c r="I290" s="3502"/>
      <c r="J290" s="3504"/>
    </row>
    <row r="291" spans="1:97" s="3508" customFormat="1" ht="13.5" customHeight="1">
      <c r="A291" s="3484">
        <v>76</v>
      </c>
      <c r="B291" s="3463">
        <v>741</v>
      </c>
      <c r="C291" s="3463">
        <v>998741201</v>
      </c>
      <c r="D291" s="3463" t="s">
        <v>7163</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7164</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7165</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7166</v>
      </c>
      <c r="E295" s="3233"/>
      <c r="F295" s="3234"/>
      <c r="G295" s="3255"/>
      <c r="H295" s="4197">
        <f>SUM(H296:H303)</f>
        <v>0</v>
      </c>
      <c r="I295" s="3256"/>
      <c r="J295" s="2476"/>
      <c r="K295" s="2477"/>
      <c r="L295" s="2477"/>
      <c r="M295" s="595"/>
    </row>
    <row r="296" spans="1:97" s="2479" customFormat="1" ht="13.5" customHeight="1">
      <c r="A296" s="3257">
        <v>78</v>
      </c>
      <c r="B296" s="3258">
        <v>790</v>
      </c>
      <c r="C296" s="3259" t="s">
        <v>7171</v>
      </c>
      <c r="D296" s="3258" t="s">
        <v>7332</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7333</v>
      </c>
      <c r="E297" s="3262"/>
      <c r="F297" s="3264"/>
      <c r="G297" s="3263"/>
      <c r="H297" s="4198"/>
      <c r="I297" s="3265"/>
      <c r="J297" s="337"/>
      <c r="M297" s="2482"/>
      <c r="O297" s="2480"/>
    </row>
    <row r="298" spans="1:97" s="595" customFormat="1" ht="13.5" customHeight="1">
      <c r="A298" s="3261"/>
      <c r="B298" s="3262"/>
      <c r="C298" s="3262"/>
      <c r="D298" s="3093" t="s">
        <v>7334</v>
      </c>
      <c r="E298" s="3262"/>
      <c r="F298" s="3226">
        <v>1</v>
      </c>
      <c r="G298" s="3263"/>
      <c r="H298" s="4198"/>
      <c r="I298" s="3265"/>
      <c r="J298" s="1224"/>
      <c r="O298" s="2480"/>
    </row>
    <row r="299" spans="1:97" s="595" customFormat="1" ht="27" customHeight="1">
      <c r="A299" s="3261"/>
      <c r="B299" s="3262"/>
      <c r="C299" s="3262"/>
      <c r="D299" s="3093" t="s">
        <v>7335</v>
      </c>
      <c r="E299" s="3262"/>
      <c r="F299" s="3226"/>
      <c r="G299" s="3263"/>
      <c r="H299" s="4198"/>
      <c r="I299" s="3265"/>
      <c r="J299" s="1224"/>
      <c r="L299" s="1224"/>
    </row>
    <row r="300" spans="1:97" s="3268" customFormat="1" ht="13.5" customHeight="1">
      <c r="A300" s="3257">
        <v>79</v>
      </c>
      <c r="B300" s="3259" t="s">
        <v>3028</v>
      </c>
      <c r="C300" s="3259" t="s">
        <v>7177</v>
      </c>
      <c r="D300" s="3259" t="s">
        <v>7178</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7179</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934" t="s">
        <v>99</v>
      </c>
      <c r="B306" s="5935"/>
      <c r="C306" s="5936"/>
      <c r="D306" s="1670" t="s">
        <v>10518</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814" t="s">
        <v>1</v>
      </c>
      <c r="B308" s="5933"/>
      <c r="C308" s="5933"/>
      <c r="D308" s="5933"/>
      <c r="E308" s="5933"/>
      <c r="F308" s="5933"/>
      <c r="G308" s="5933"/>
      <c r="H308" s="318"/>
      <c r="I308" s="318"/>
    </row>
    <row r="309" spans="1:11" s="460" customFormat="1" ht="27" customHeight="1">
      <c r="A309" s="5814" t="s">
        <v>308</v>
      </c>
      <c r="B309" s="5937"/>
      <c r="C309" s="5937"/>
      <c r="D309" s="5937"/>
      <c r="E309" s="5937"/>
      <c r="F309" s="5937"/>
      <c r="G309" s="5937"/>
      <c r="H309" s="48"/>
    </row>
    <row r="310" spans="1:11" s="48" customFormat="1" ht="102.75" customHeight="1">
      <c r="A310" s="5814" t="s">
        <v>26</v>
      </c>
      <c r="B310" s="5938"/>
      <c r="C310" s="5938"/>
      <c r="D310" s="5938"/>
      <c r="E310" s="5938"/>
      <c r="F310" s="5938"/>
      <c r="G310" s="5938"/>
    </row>
    <row r="311" spans="1:11" s="459" customFormat="1" ht="13.5" customHeight="1">
      <c r="A311" s="5814" t="s">
        <v>27</v>
      </c>
      <c r="B311" s="5933"/>
      <c r="C311" s="5933"/>
      <c r="D311" s="5933"/>
      <c r="E311" s="5933"/>
      <c r="F311" s="5933"/>
      <c r="G311" s="5933"/>
      <c r="H311" s="318"/>
      <c r="I311" s="318"/>
    </row>
    <row r="312" spans="1:11" s="459" customFormat="1" ht="13.5" customHeight="1">
      <c r="A312" s="5814" t="s">
        <v>28</v>
      </c>
      <c r="B312" s="5933"/>
      <c r="C312" s="5933"/>
      <c r="D312" s="5933"/>
      <c r="E312" s="5933"/>
      <c r="F312" s="5933"/>
      <c r="G312" s="5933"/>
      <c r="H312" s="318"/>
      <c r="I312" s="318"/>
    </row>
    <row r="313" spans="1:11" s="3276" customFormat="1" ht="40.5" customHeight="1">
      <c r="A313" s="5816" t="s">
        <v>61</v>
      </c>
      <c r="B313" s="5816"/>
      <c r="C313" s="5816"/>
      <c r="D313" s="5816"/>
      <c r="E313" s="5816"/>
      <c r="F313" s="5816"/>
      <c r="G313" s="5816"/>
      <c r="I313" s="3510"/>
    </row>
  </sheetData>
  <mergeCells count="12">
    <mergeCell ref="J144:N144"/>
    <mergeCell ref="A306:C306"/>
    <mergeCell ref="A308:G308"/>
    <mergeCell ref="A309:G309"/>
    <mergeCell ref="A310:G310"/>
    <mergeCell ref="G208:H208"/>
    <mergeCell ref="G269:H269"/>
    <mergeCell ref="A311:G311"/>
    <mergeCell ref="A312:G312"/>
    <mergeCell ref="A313:G313"/>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7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894" t="s">
        <v>112</v>
      </c>
      <c r="B2" s="5939"/>
      <c r="C2" s="5939"/>
      <c r="D2" s="5939"/>
      <c r="E2" s="5939"/>
      <c r="F2" s="5939"/>
      <c r="G2" s="5939"/>
      <c r="H2" s="5939"/>
      <c r="I2" s="5939"/>
    </row>
    <row r="3" spans="1:256" s="907" customFormat="1" ht="12.75" customHeight="1">
      <c r="A3" s="5913" t="s">
        <v>7074</v>
      </c>
      <c r="B3" s="5913"/>
      <c r="C3" s="5913"/>
      <c r="D3" s="5913"/>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7336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7079</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7337</v>
      </c>
      <c r="E18" s="3092"/>
      <c r="F18" s="3094"/>
      <c r="G18" s="3095"/>
      <c r="H18" s="4031"/>
      <c r="I18" s="3096"/>
      <c r="J18" s="2432"/>
      <c r="T18" s="1292"/>
      <c r="V18" s="1292"/>
    </row>
    <row r="19" spans="1:23" s="1291" customFormat="1" ht="13.5" customHeight="1">
      <c r="A19" s="3090"/>
      <c r="B19" s="3091"/>
      <c r="C19" s="3092"/>
      <c r="D19" s="3093" t="s">
        <v>7338</v>
      </c>
      <c r="E19" s="3092"/>
      <c r="F19" s="3094">
        <f>((7.5*5)*1)*0.9</f>
        <v>33.75</v>
      </c>
      <c r="G19" s="3095"/>
      <c r="H19" s="4031"/>
      <c r="I19" s="3096"/>
      <c r="J19" s="2433"/>
      <c r="T19" s="1292"/>
      <c r="V19" s="1292"/>
    </row>
    <row r="20" spans="1:23" s="1291" customFormat="1" ht="13.5" customHeight="1">
      <c r="A20" s="3090"/>
      <c r="B20" s="3091"/>
      <c r="C20" s="3092"/>
      <c r="D20" s="3093" t="s">
        <v>7339</v>
      </c>
      <c r="E20" s="3092"/>
      <c r="F20" s="3094">
        <f>((9.5*2+5*2)*0.5)*0.9</f>
        <v>13.05</v>
      </c>
      <c r="G20" s="3095"/>
      <c r="H20" s="4031"/>
      <c r="I20" s="3096"/>
      <c r="J20" s="2433"/>
      <c r="T20" s="1292"/>
      <c r="V20" s="1292"/>
    </row>
    <row r="21" spans="1:23" s="1291" customFormat="1" ht="27" customHeight="1">
      <c r="A21" s="3090"/>
      <c r="B21" s="3091"/>
      <c r="C21" s="3092"/>
      <c r="D21" s="3092" t="s">
        <v>7085</v>
      </c>
      <c r="E21" s="3092"/>
      <c r="F21" s="3094"/>
      <c r="G21" s="3095"/>
      <c r="H21" s="4031"/>
      <c r="I21" s="3096"/>
      <c r="J21" s="1290"/>
      <c r="U21" s="1292"/>
      <c r="W21" s="1292"/>
    </row>
    <row r="22" spans="1:23" s="595" customFormat="1" ht="13.5" customHeight="1">
      <c r="A22" s="3086">
        <v>8</v>
      </c>
      <c r="B22" s="3087" t="s">
        <v>850</v>
      </c>
      <c r="C22" s="3087">
        <v>131351100</v>
      </c>
      <c r="D22" s="3087" t="s">
        <v>7086</v>
      </c>
      <c r="E22" s="3087" t="s">
        <v>221</v>
      </c>
      <c r="F22" s="3080">
        <f>ROUND(SUM(F24:F25),3)</f>
        <v>5.2</v>
      </c>
      <c r="G22" s="3088"/>
      <c r="H22" s="3942">
        <f>ROUND(F22*G22,2)</f>
        <v>0</v>
      </c>
      <c r="I22" s="3089" t="s">
        <v>142</v>
      </c>
      <c r="J22" s="2434"/>
    </row>
    <row r="23" spans="1:23" s="1291" customFormat="1" ht="13.5" customHeight="1">
      <c r="A23" s="3090"/>
      <c r="B23" s="3091"/>
      <c r="C23" s="3092"/>
      <c r="D23" s="3093" t="s">
        <v>7340</v>
      </c>
      <c r="E23" s="3092"/>
      <c r="F23" s="3094"/>
      <c r="G23" s="3095"/>
      <c r="H23" s="4031"/>
      <c r="I23" s="3096"/>
      <c r="J23" s="2432"/>
      <c r="T23" s="1292"/>
      <c r="V23" s="1292"/>
    </row>
    <row r="24" spans="1:23" s="1291" customFormat="1" ht="13.5" customHeight="1">
      <c r="A24" s="3090"/>
      <c r="B24" s="3091"/>
      <c r="C24" s="3092"/>
      <c r="D24" s="3093" t="s">
        <v>7341</v>
      </c>
      <c r="E24" s="3092"/>
      <c r="F24" s="3094">
        <f>((7.5*5)*1)*0.1</f>
        <v>3.75</v>
      </c>
      <c r="G24" s="3095"/>
      <c r="H24" s="4031"/>
      <c r="I24" s="3096"/>
      <c r="J24" s="2432"/>
      <c r="T24" s="1292"/>
      <c r="V24" s="1292"/>
    </row>
    <row r="25" spans="1:23" s="1291" customFormat="1" ht="13.5" customHeight="1">
      <c r="A25" s="3090"/>
      <c r="B25" s="3091"/>
      <c r="C25" s="3092"/>
      <c r="D25" s="3093" t="s">
        <v>7342</v>
      </c>
      <c r="E25" s="3092"/>
      <c r="F25" s="3094">
        <f>((9.5*2+5*2)*0.5)*0.1</f>
        <v>1.4500000000000002</v>
      </c>
      <c r="G25" s="3095"/>
      <c r="H25" s="4031"/>
      <c r="I25" s="3096"/>
      <c r="J25" s="2432"/>
      <c r="T25" s="1292"/>
      <c r="V25" s="1292"/>
    </row>
    <row r="26" spans="1:23" s="1291" customFormat="1" ht="27" customHeight="1">
      <c r="A26" s="3090"/>
      <c r="B26" s="3091"/>
      <c r="C26" s="3092"/>
      <c r="D26" s="3092" t="s">
        <v>7085</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7343</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7344</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7093</v>
      </c>
      <c r="E32" s="3114"/>
      <c r="F32" s="3117"/>
      <c r="G32" s="3115"/>
      <c r="H32" s="4201"/>
      <c r="I32" s="3118"/>
      <c r="J32" s="2436"/>
    </row>
    <row r="33" spans="1:256" s="2317" customFormat="1" ht="13.5" customHeight="1">
      <c r="A33" s="3112"/>
      <c r="B33" s="3114"/>
      <c r="C33" s="3114"/>
      <c r="D33" s="3116" t="s">
        <v>7345</v>
      </c>
      <c r="E33" s="3114"/>
      <c r="F33" s="3119">
        <f>(46.8+5.2)</f>
        <v>52</v>
      </c>
      <c r="G33" s="3115"/>
      <c r="H33" s="4201"/>
      <c r="I33" s="3118"/>
    </row>
    <row r="34" spans="1:256" s="2317" customFormat="1" ht="27" customHeight="1">
      <c r="A34" s="3112"/>
      <c r="B34" s="3114"/>
      <c r="C34" s="3114"/>
      <c r="D34" s="3116" t="s">
        <v>7346</v>
      </c>
      <c r="E34" s="3114"/>
      <c r="F34" s="3119">
        <f>-((3.6*2+6.5*2)*0.4*0.8+(4*6.5*0.15))</f>
        <v>-10.364000000000001</v>
      </c>
      <c r="G34" s="3115"/>
      <c r="H34" s="4201"/>
      <c r="I34" s="3118"/>
    </row>
    <row r="35" spans="1:256" s="2317" customFormat="1" ht="27" customHeight="1">
      <c r="A35" s="3112"/>
      <c r="B35" s="3114"/>
      <c r="C35" s="3114"/>
      <c r="D35" s="3116" t="s">
        <v>7347</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7348</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7349</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7350</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7351</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6944</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7101</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7102</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7103</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7194</v>
      </c>
      <c r="D68" s="3183" t="s">
        <v>7195</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7352</v>
      </c>
      <c r="E69" s="3183"/>
      <c r="F69" s="3306">
        <f>(3.2*5.7)*0.1</f>
        <v>1.8240000000000003</v>
      </c>
      <c r="G69" s="3184"/>
      <c r="H69" s="4192"/>
      <c r="I69" s="3187"/>
      <c r="J69" s="2444"/>
    </row>
    <row r="70" spans="1:256" s="2452" customFormat="1" ht="13.5" customHeight="1">
      <c r="A70" s="3181">
        <v>17</v>
      </c>
      <c r="B70" s="3182" t="s">
        <v>911</v>
      </c>
      <c r="C70" s="3183">
        <v>273321411</v>
      </c>
      <c r="D70" s="3183" t="s">
        <v>7197</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7198</v>
      </c>
      <c r="E71" s="3309"/>
      <c r="F71" s="3306"/>
      <c r="G71" s="3310"/>
      <c r="H71" s="4212"/>
      <c r="I71" s="3311"/>
      <c r="J71" s="2489"/>
      <c r="M71" s="2491"/>
    </row>
    <row r="72" spans="1:256" s="2452" customFormat="1" ht="13.5" customHeight="1">
      <c r="A72" s="3181"/>
      <c r="B72" s="3182"/>
      <c r="C72" s="3183"/>
      <c r="D72" s="3309" t="s">
        <v>7353</v>
      </c>
      <c r="E72" s="3183"/>
      <c r="F72" s="3306">
        <f>((6.5*4)*0.15)*1.05</f>
        <v>4.0949999999999998</v>
      </c>
      <c r="G72" s="3184"/>
      <c r="H72" s="4192"/>
      <c r="I72" s="3187"/>
      <c r="J72" s="2444"/>
      <c r="M72" s="2488"/>
    </row>
    <row r="73" spans="1:256" s="933" customFormat="1" ht="27" customHeight="1">
      <c r="A73" s="3312"/>
      <c r="B73" s="3313"/>
      <c r="C73" s="3314"/>
      <c r="D73" s="3185" t="s">
        <v>7200</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7354</v>
      </c>
      <c r="E75" s="3183"/>
      <c r="F75" s="3317"/>
      <c r="G75" s="3184"/>
      <c r="H75" s="4192"/>
      <c r="I75" s="3187"/>
      <c r="J75" s="2444"/>
    </row>
    <row r="76" spans="1:256" s="2491" customFormat="1" ht="13.5" customHeight="1">
      <c r="A76" s="3307"/>
      <c r="B76" s="3308"/>
      <c r="C76" s="3309"/>
      <c r="D76" s="3309" t="s">
        <v>7355</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7203</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7356</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7205</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7206</v>
      </c>
      <c r="E81" s="3309"/>
      <c r="F81" s="3306"/>
      <c r="G81" s="3310"/>
      <c r="H81" s="4212"/>
      <c r="I81" s="3311"/>
      <c r="J81" s="2444"/>
      <c r="M81" s="2488"/>
    </row>
    <row r="82" spans="1:15" s="933" customFormat="1" ht="13.5" customHeight="1">
      <c r="A82" s="3181"/>
      <c r="B82" s="3182"/>
      <c r="C82" s="3183"/>
      <c r="D82" s="3185" t="s">
        <v>7357</v>
      </c>
      <c r="E82" s="3183"/>
      <c r="F82" s="3188">
        <f>((3.6*2+6.5*2)*0.4*0.8)*1.05</f>
        <v>6.7872000000000003</v>
      </c>
      <c r="G82" s="3184"/>
      <c r="H82" s="4192"/>
      <c r="I82" s="3231"/>
      <c r="J82" s="2444"/>
    </row>
    <row r="83" spans="1:15" s="933" customFormat="1" ht="27" customHeight="1">
      <c r="A83" s="3312"/>
      <c r="B83" s="3313"/>
      <c r="C83" s="3314"/>
      <c r="D83" s="3185" t="s">
        <v>7200</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7358</v>
      </c>
      <c r="E85" s="3093"/>
      <c r="F85" s="3226">
        <f>((6.5*2+4*2)*0.8)*2</f>
        <v>33.6</v>
      </c>
      <c r="G85" s="3326"/>
      <c r="H85" s="4214"/>
      <c r="I85" s="3327"/>
      <c r="K85" s="1224"/>
      <c r="O85" s="595"/>
    </row>
    <row r="86" spans="1:15" s="933" customFormat="1" ht="13.5" customHeight="1">
      <c r="A86" s="3181">
        <v>23</v>
      </c>
      <c r="B86" s="3182" t="s">
        <v>911</v>
      </c>
      <c r="C86" s="3183">
        <v>274351122</v>
      </c>
      <c r="D86" s="3183" t="s">
        <v>5985</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4151</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7111</v>
      </c>
      <c r="E89" s="3183"/>
      <c r="F89" s="3186"/>
      <c r="G89" s="3184"/>
      <c r="H89" s="4192"/>
      <c r="I89" s="3187"/>
      <c r="J89" s="2444"/>
      <c r="L89" s="2445"/>
    </row>
    <row r="90" spans="1:15" s="2447" customFormat="1" ht="13.5" customHeight="1">
      <c r="A90" s="3181"/>
      <c r="B90" s="3182"/>
      <c r="C90" s="3183"/>
      <c r="D90" s="3185" t="s">
        <v>7359</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7121</v>
      </c>
      <c r="C92" s="3225" t="s">
        <v>7231</v>
      </c>
      <c r="D92" s="3225" t="s">
        <v>7232</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7360</v>
      </c>
      <c r="E93" s="3225"/>
      <c r="F93" s="3226">
        <f>(62.168)</f>
        <v>62.167999999999999</v>
      </c>
      <c r="G93" s="3184"/>
      <c r="H93" s="4191"/>
      <c r="I93" s="3187"/>
      <c r="J93" s="2451"/>
      <c r="K93" s="2450"/>
      <c r="L93" s="2450"/>
      <c r="M93" s="2448"/>
    </row>
    <row r="94" spans="1:15" s="906" customFormat="1" ht="13.5" customHeight="1">
      <c r="A94" s="3223"/>
      <c r="B94" s="3224"/>
      <c r="C94" s="3225"/>
      <c r="D94" s="3093" t="s">
        <v>7361</v>
      </c>
      <c r="E94" s="3225"/>
      <c r="F94" s="3226">
        <f>(0.002)</f>
        <v>2E-3</v>
      </c>
      <c r="G94" s="3184"/>
      <c r="H94" s="4191"/>
      <c r="I94" s="3187"/>
      <c r="J94" s="2451"/>
      <c r="K94" s="2450"/>
      <c r="L94" s="2450"/>
      <c r="M94" s="2448"/>
    </row>
    <row r="95" spans="1:15" s="2452" customFormat="1" ht="13.5" customHeight="1">
      <c r="A95" s="3230">
        <v>26</v>
      </c>
      <c r="B95" s="3182" t="s">
        <v>188</v>
      </c>
      <c r="C95" s="3183" t="s">
        <v>7125</v>
      </c>
      <c r="D95" s="3183" t="s">
        <v>7126</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7235</v>
      </c>
      <c r="E100" s="3183"/>
      <c r="F100" s="3186"/>
      <c r="G100" s="3349"/>
      <c r="H100" s="4192"/>
      <c r="I100" s="3231"/>
      <c r="J100" s="2496"/>
    </row>
    <row r="101" spans="1:17" s="939" customFormat="1" ht="40.5" customHeight="1">
      <c r="A101" s="3350"/>
      <c r="B101" s="3182"/>
      <c r="C101" s="3183"/>
      <c r="D101" s="3351" t="s">
        <v>7362</v>
      </c>
      <c r="E101" s="3185"/>
      <c r="F101" s="3188"/>
      <c r="G101" s="3322"/>
      <c r="H101" s="4213"/>
      <c r="I101" s="3231"/>
      <c r="J101" s="2495"/>
    </row>
    <row r="102" spans="1:17" s="933" customFormat="1" ht="13.5" customHeight="1">
      <c r="A102" s="3352" t="s">
        <v>539</v>
      </c>
      <c r="B102" s="3353"/>
      <c r="C102" s="3354" t="s">
        <v>1879</v>
      </c>
      <c r="D102" s="3309" t="s">
        <v>7238</v>
      </c>
      <c r="E102" s="3355" t="s">
        <v>611</v>
      </c>
      <c r="F102" s="3356">
        <f>F99</f>
        <v>26</v>
      </c>
      <c r="G102" s="3357"/>
      <c r="H102" s="4186">
        <f>ROUND(F102*G102,2)</f>
        <v>0</v>
      </c>
      <c r="I102" s="3358" t="s">
        <v>60</v>
      </c>
      <c r="J102" s="2444"/>
      <c r="K102" s="2442"/>
    </row>
    <row r="103" spans="1:17" s="933" customFormat="1" ht="13.5" customHeight="1">
      <c r="A103" s="3359" t="s">
        <v>540</v>
      </c>
      <c r="B103" s="3360"/>
      <c r="C103" s="3361" t="s">
        <v>7240</v>
      </c>
      <c r="D103" s="3362" t="s">
        <v>7363</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7364</v>
      </c>
      <c r="E104" s="3185"/>
      <c r="F104" s="3188"/>
      <c r="G104" s="3322"/>
      <c r="H104" s="4213"/>
      <c r="I104" s="3231"/>
    </row>
    <row r="105" spans="1:17" s="933" customFormat="1" ht="13.5" customHeight="1">
      <c r="A105" s="3352" t="s">
        <v>541</v>
      </c>
      <c r="B105" s="3353"/>
      <c r="C105" s="3354" t="s">
        <v>1884</v>
      </c>
      <c r="D105" s="3309" t="s">
        <v>7244</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7365</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7366</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7248</v>
      </c>
      <c r="E110" s="3183"/>
      <c r="F110" s="3186"/>
      <c r="G110" s="3349"/>
      <c r="H110" s="4192"/>
      <c r="I110" s="3231"/>
      <c r="J110" s="2496"/>
      <c r="K110" s="956"/>
    </row>
    <row r="111" spans="1:17" s="939" customFormat="1" ht="40.5" customHeight="1">
      <c r="A111" s="3350"/>
      <c r="B111" s="3182"/>
      <c r="C111" s="3183"/>
      <c r="D111" s="3351" t="s">
        <v>7367</v>
      </c>
      <c r="E111" s="3185"/>
      <c r="F111" s="3188"/>
      <c r="G111" s="3322"/>
      <c r="H111" s="4213"/>
      <c r="I111" s="3231"/>
      <c r="J111" s="2495"/>
    </row>
    <row r="112" spans="1:17" s="933" customFormat="1" ht="13.5" customHeight="1">
      <c r="A112" s="3352" t="s">
        <v>641</v>
      </c>
      <c r="B112" s="3353"/>
      <c r="C112" s="3354" t="s">
        <v>1893</v>
      </c>
      <c r="D112" s="3309" t="s">
        <v>7250</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7240</v>
      </c>
      <c r="D113" s="3362" t="s">
        <v>7368</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7369</v>
      </c>
      <c r="E114" s="3185"/>
      <c r="F114" s="3188"/>
      <c r="G114" s="3322"/>
      <c r="H114" s="4213"/>
      <c r="I114" s="3231"/>
    </row>
    <row r="115" spans="1:23" s="933" customFormat="1" ht="13.5" customHeight="1">
      <c r="A115" s="3352" t="s">
        <v>648</v>
      </c>
      <c r="B115" s="3353"/>
      <c r="C115" s="3354" t="s">
        <v>7253</v>
      </c>
      <c r="D115" s="3309" t="s">
        <v>7254</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7370</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7371</v>
      </c>
      <c r="E117" s="3314"/>
      <c r="F117" s="3369">
        <f>(4*2+6.5*2)*0.15</f>
        <v>3.15</v>
      </c>
      <c r="G117" s="3316"/>
      <c r="H117" s="4192"/>
      <c r="I117" s="3347"/>
      <c r="J117" s="5944"/>
      <c r="K117" s="5945"/>
      <c r="L117" s="5945"/>
      <c r="M117" s="5945"/>
      <c r="N117" s="5945"/>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7127</v>
      </c>
      <c r="E123" s="3459"/>
      <c r="F123" s="3460"/>
      <c r="G123" s="3461"/>
      <c r="H123" s="4194">
        <f>SUM(H124:H193)</f>
        <v>0</v>
      </c>
      <c r="I123" s="3462"/>
    </row>
    <row r="124" spans="1:23" s="3286" customFormat="1" ht="13.5" customHeight="1">
      <c r="A124" s="3237">
        <v>31</v>
      </c>
      <c r="B124" s="3463">
        <v>741</v>
      </c>
      <c r="C124" s="3463" t="s">
        <v>7128</v>
      </c>
      <c r="D124" s="3463" t="s">
        <v>7129</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7130</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7372</v>
      </c>
      <c r="E126" s="3464"/>
      <c r="F126" s="3467">
        <v>2</v>
      </c>
      <c r="G126" s="3468"/>
      <c r="H126" s="4119"/>
      <c r="I126" s="3465"/>
      <c r="J126" s="3296"/>
      <c r="M126" s="3470"/>
      <c r="Q126" s="3471"/>
      <c r="S126" s="3471"/>
    </row>
    <row r="127" spans="1:23" s="3286" customFormat="1" ht="13.5" customHeight="1">
      <c r="A127" s="3237"/>
      <c r="B127" s="3463"/>
      <c r="C127" s="3463"/>
      <c r="D127" s="3466" t="s">
        <v>7132</v>
      </c>
      <c r="E127" s="3464"/>
      <c r="F127" s="3467"/>
      <c r="G127" s="3468"/>
      <c r="H127" s="4119"/>
      <c r="I127" s="3465"/>
      <c r="M127" s="3470"/>
      <c r="Q127" s="3471"/>
    </row>
    <row r="128" spans="1:23" s="3473" customFormat="1" ht="13.5" customHeight="1">
      <c r="A128" s="3472">
        <v>32</v>
      </c>
      <c r="B128" s="3463">
        <v>741</v>
      </c>
      <c r="C128" s="3463" t="s">
        <v>7288</v>
      </c>
      <c r="D128" s="3463" t="s">
        <v>7289</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7290</v>
      </c>
      <c r="E129" s="3464"/>
      <c r="F129" s="3475"/>
      <c r="G129" s="3468"/>
      <c r="H129" s="4229"/>
      <c r="I129" s="3465"/>
      <c r="J129" s="2460"/>
      <c r="K129" s="2461"/>
      <c r="L129" s="3286"/>
      <c r="W129" s="2463"/>
    </row>
    <row r="130" spans="1:23" s="3473" customFormat="1" ht="13.5" customHeight="1">
      <c r="A130" s="3477"/>
      <c r="B130" s="3463"/>
      <c r="C130" s="3463"/>
      <c r="D130" s="3287" t="s">
        <v>7372</v>
      </c>
      <c r="E130" s="3463"/>
      <c r="F130" s="3475">
        <v>1</v>
      </c>
      <c r="G130" s="3468"/>
      <c r="H130" s="4229"/>
      <c r="I130" s="3465"/>
      <c r="J130" s="3286"/>
      <c r="L130" s="3286"/>
      <c r="W130" s="2463"/>
    </row>
    <row r="131" spans="1:23" s="3473" customFormat="1" ht="13.5" customHeight="1">
      <c r="A131" s="3472"/>
      <c r="B131" s="3463"/>
      <c r="C131" s="3463"/>
      <c r="D131" s="3474" t="s">
        <v>7291</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7292</v>
      </c>
      <c r="D132" s="3463" t="s">
        <v>7293</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7294</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7372</v>
      </c>
      <c r="E134" s="3463"/>
      <c r="F134" s="3475">
        <v>1</v>
      </c>
      <c r="G134" s="3468"/>
      <c r="H134" s="4229"/>
      <c r="I134" s="3465"/>
      <c r="M134" s="3482"/>
    </row>
    <row r="135" spans="1:23" s="3473" customFormat="1" ht="13.5" customHeight="1">
      <c r="A135" s="3472"/>
      <c r="B135" s="3463"/>
      <c r="C135" s="3463"/>
      <c r="D135" s="3466" t="s">
        <v>7295</v>
      </c>
      <c r="E135" s="3464"/>
      <c r="F135" s="3475"/>
      <c r="G135" s="3468"/>
      <c r="H135" s="4229"/>
      <c r="I135" s="3465"/>
      <c r="M135" s="3482"/>
    </row>
    <row r="136" spans="1:23" s="3473" customFormat="1" ht="13.5" customHeight="1">
      <c r="A136" s="3484">
        <v>34</v>
      </c>
      <c r="B136" s="3463">
        <v>741</v>
      </c>
      <c r="C136" s="3463" t="s">
        <v>7134</v>
      </c>
      <c r="D136" s="3463" t="s">
        <v>7135</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7136</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7137</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7299</v>
      </c>
      <c r="D139" s="3463" t="s">
        <v>7300</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7136</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7137</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7138</v>
      </c>
      <c r="D142" s="3463" t="s">
        <v>7373</v>
      </c>
      <c r="E142" s="3463" t="s">
        <v>23</v>
      </c>
      <c r="F142" s="3080">
        <f>ROUND(SUM(F144),3)</f>
        <v>1</v>
      </c>
      <c r="G142" s="3468"/>
      <c r="H142" s="3942">
        <f>ROUND(F142*G142,2)</f>
        <v>0</v>
      </c>
      <c r="I142" s="3465" t="s">
        <v>60</v>
      </c>
      <c r="M142" s="3482"/>
    </row>
    <row r="143" spans="1:23" s="3473" customFormat="1" ht="13.5" customHeight="1">
      <c r="A143" s="3237"/>
      <c r="B143" s="3463"/>
      <c r="C143" s="3463"/>
      <c r="D143" s="3466" t="s">
        <v>7374</v>
      </c>
      <c r="E143" s="3463"/>
      <c r="F143" s="3481"/>
      <c r="G143" s="3468"/>
      <c r="H143" s="4119"/>
      <c r="I143" s="3465"/>
      <c r="M143" s="3482"/>
    </row>
    <row r="144" spans="1:23" s="3473" customFormat="1" ht="13.5" customHeight="1">
      <c r="A144" s="3237"/>
      <c r="B144" s="3463"/>
      <c r="C144" s="3463"/>
      <c r="D144" s="3287" t="s">
        <v>7372</v>
      </c>
      <c r="E144" s="3464"/>
      <c r="F144" s="3467">
        <v>1</v>
      </c>
      <c r="G144" s="3468"/>
      <c r="H144" s="4119"/>
      <c r="I144" s="3465"/>
      <c r="M144" s="3482"/>
    </row>
    <row r="145" spans="1:25" s="3473" customFormat="1" ht="27" customHeight="1">
      <c r="A145" s="3237"/>
      <c r="B145" s="3463"/>
      <c r="C145" s="3463"/>
      <c r="D145" s="3494" t="s">
        <v>7141</v>
      </c>
      <c r="E145" s="3463"/>
      <c r="F145" s="3467"/>
      <c r="G145" s="3468"/>
      <c r="H145" s="4119"/>
      <c r="I145" s="3465"/>
      <c r="M145" s="3482"/>
    </row>
    <row r="146" spans="1:25" s="2473" customFormat="1" ht="13.5" customHeight="1">
      <c r="A146" s="3242">
        <v>37</v>
      </c>
      <c r="B146" s="3240">
        <v>741</v>
      </c>
      <c r="C146" s="3240" t="s">
        <v>7142</v>
      </c>
      <c r="D146" s="3243" t="s">
        <v>7306</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7307</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7375</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10115</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7309</v>
      </c>
      <c r="E150" s="3247"/>
      <c r="F150" s="3245"/>
      <c r="G150" s="3248"/>
      <c r="H150" s="4196"/>
      <c r="I150" s="3248"/>
      <c r="J150" s="2472"/>
      <c r="K150" s="2475"/>
      <c r="L150" s="2475"/>
    </row>
    <row r="151" spans="1:25" s="2473" customFormat="1" ht="13.5" customHeight="1">
      <c r="A151" s="3242">
        <v>38</v>
      </c>
      <c r="B151" s="3240">
        <v>741</v>
      </c>
      <c r="C151" s="3240" t="s">
        <v>7146</v>
      </c>
      <c r="D151" s="3243" t="s">
        <v>7311</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7312</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7145</v>
      </c>
      <c r="E153" s="3247"/>
      <c r="F153" s="3245"/>
      <c r="G153" s="3248"/>
      <c r="H153" s="4196"/>
      <c r="I153" s="3239"/>
      <c r="J153" s="2472"/>
      <c r="K153" s="2475"/>
      <c r="L153" s="2475"/>
    </row>
    <row r="154" spans="1:25" s="2473" customFormat="1" ht="13.5" customHeight="1">
      <c r="A154" s="3242">
        <v>39</v>
      </c>
      <c r="B154" s="3240">
        <v>741</v>
      </c>
      <c r="C154" s="3240" t="s">
        <v>7148</v>
      </c>
      <c r="D154" s="3243" t="s">
        <v>7314</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7315</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7316</v>
      </c>
      <c r="E156" s="3247"/>
      <c r="F156" s="3245"/>
      <c r="G156" s="3248"/>
      <c r="H156" s="4196"/>
      <c r="I156" s="3239"/>
      <c r="S156" s="2468"/>
      <c r="W156" s="2468"/>
    </row>
    <row r="157" spans="1:25" s="2473" customFormat="1" ht="13.5" customHeight="1">
      <c r="A157" s="3242">
        <v>40</v>
      </c>
      <c r="B157" s="3240">
        <v>741</v>
      </c>
      <c r="C157" s="3240" t="s">
        <v>7151</v>
      </c>
      <c r="D157" s="3243" t="s">
        <v>7318</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7319</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7316</v>
      </c>
      <c r="E159" s="3247"/>
      <c r="F159" s="3245"/>
      <c r="G159" s="3248"/>
      <c r="H159" s="4196"/>
      <c r="I159" s="3239"/>
    </row>
    <row r="160" spans="1:25" s="2473" customFormat="1" ht="13.5" customHeight="1">
      <c r="A160" s="3242">
        <v>42</v>
      </c>
      <c r="B160" s="3240">
        <v>741</v>
      </c>
      <c r="C160" s="3240" t="s">
        <v>7153</v>
      </c>
      <c r="D160" s="3243" t="s">
        <v>7325</v>
      </c>
      <c r="E160" s="3240" t="s">
        <v>155</v>
      </c>
      <c r="F160" s="3481">
        <f>SUM(F161)</f>
        <v>1</v>
      </c>
      <c r="G160" s="3476"/>
      <c r="H160" s="3942">
        <f>ROUND(F160*G160,2)</f>
        <v>0</v>
      </c>
      <c r="I160" s="3239" t="s">
        <v>60</v>
      </c>
      <c r="W160" s="2463"/>
    </row>
    <row r="161" spans="1:97" s="2473" customFormat="1" ht="13.5" customHeight="1">
      <c r="A161" s="3242"/>
      <c r="B161" s="3240"/>
      <c r="C161" s="3240"/>
      <c r="D161" s="3474" t="s">
        <v>7326</v>
      </c>
      <c r="E161" s="3463"/>
      <c r="F161" s="3475">
        <v>1</v>
      </c>
      <c r="G161" s="3476"/>
      <c r="H161" s="4098"/>
      <c r="I161" s="3239"/>
      <c r="J161" s="2526"/>
      <c r="S161" s="2474"/>
      <c r="W161" s="2468"/>
    </row>
    <row r="162" spans="1:97" s="3473" customFormat="1" ht="13.5" customHeight="1">
      <c r="A162" s="3484"/>
      <c r="B162" s="3463"/>
      <c r="C162" s="3240"/>
      <c r="D162" s="3474" t="s">
        <v>7327</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7156</v>
      </c>
      <c r="D163" s="3243" t="s">
        <v>7157</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7305</v>
      </c>
      <c r="D164" s="3463" t="s">
        <v>7143</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7144</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10118</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7145</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7310</v>
      </c>
      <c r="D168" s="3463" t="s">
        <v>11680</v>
      </c>
      <c r="E168" s="3463" t="s">
        <v>141</v>
      </c>
      <c r="F168" s="3481">
        <f>SUM(F169)</f>
        <v>1.32</v>
      </c>
      <c r="G168" s="5942" t="s">
        <v>11555</v>
      </c>
      <c r="H168" s="5943"/>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7329</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7145</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11681</v>
      </c>
      <c r="D171" s="5600" t="s">
        <v>11678</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7329</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7145</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7313</v>
      </c>
      <c r="D174" s="3241" t="s">
        <v>7149</v>
      </c>
      <c r="E174" s="3463" t="s">
        <v>155</v>
      </c>
      <c r="F174" s="3481">
        <f>SUM(F175)</f>
        <v>12</v>
      </c>
      <c r="G174" s="3468"/>
      <c r="H174" s="3942">
        <f>ROUND(F174*G174,2)</f>
        <v>0</v>
      </c>
      <c r="I174" s="3239" t="s">
        <v>60</v>
      </c>
      <c r="W174" s="2468"/>
    </row>
    <row r="175" spans="1:97" s="3473" customFormat="1" ht="13.5" customHeight="1">
      <c r="A175" s="3484"/>
      <c r="B175" s="3463"/>
      <c r="C175" s="3240"/>
      <c r="D175" s="3474" t="s">
        <v>7150</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7145</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7317</v>
      </c>
      <c r="D177" s="3243" t="s">
        <v>7152</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10112</v>
      </c>
      <c r="E178" s="3240"/>
      <c r="F178" s="3245">
        <v>1</v>
      </c>
      <c r="G178" s="3476"/>
      <c r="H178" s="4119"/>
      <c r="I178" s="3239"/>
      <c r="J178" s="2472"/>
      <c r="S178" s="2474"/>
    </row>
    <row r="179" spans="1:97" s="2473" customFormat="1" ht="13.5" customHeight="1">
      <c r="A179" s="3242">
        <v>48</v>
      </c>
      <c r="B179" s="3240">
        <v>741</v>
      </c>
      <c r="C179" s="3240" t="s">
        <v>7320</v>
      </c>
      <c r="D179" s="3243" t="s">
        <v>7154</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10113</v>
      </c>
      <c r="E180" s="3247"/>
      <c r="F180" s="3245">
        <v>1</v>
      </c>
      <c r="G180" s="3248"/>
      <c r="H180" s="4196"/>
      <c r="I180" s="3248"/>
      <c r="J180" s="2472"/>
      <c r="K180" s="2475"/>
      <c r="L180" s="2475"/>
    </row>
    <row r="181" spans="1:97" s="2473" customFormat="1" ht="13.5" customHeight="1">
      <c r="A181" s="3242">
        <v>49</v>
      </c>
      <c r="B181" s="3240">
        <v>741</v>
      </c>
      <c r="C181" s="3240" t="s">
        <v>7384</v>
      </c>
      <c r="D181" s="3243" t="s">
        <v>7157</v>
      </c>
      <c r="E181" s="3240" t="s">
        <v>23</v>
      </c>
      <c r="F181" s="3249">
        <v>3</v>
      </c>
      <c r="G181" s="3476"/>
      <c r="H181" s="3942">
        <f>ROUND(F181*G181,2)</f>
        <v>0</v>
      </c>
      <c r="I181" s="3239" t="s">
        <v>60</v>
      </c>
      <c r="J181" s="2472"/>
      <c r="S181" s="2474"/>
    </row>
    <row r="182" spans="1:97" s="1494" customFormat="1" ht="13.5" customHeight="1">
      <c r="A182" s="3237">
        <v>50</v>
      </c>
      <c r="B182" s="3250">
        <v>741</v>
      </c>
      <c r="C182" s="3463" t="s">
        <v>7330</v>
      </c>
      <c r="D182" s="3251" t="s">
        <v>7158</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7159</v>
      </c>
      <c r="E183" s="3464"/>
      <c r="F183" s="3475"/>
      <c r="G183" s="3500"/>
      <c r="H183" s="4119"/>
      <c r="I183" s="3465"/>
      <c r="J183" s="2460"/>
      <c r="K183" s="2461"/>
      <c r="Q183" s="2463"/>
    </row>
    <row r="184" spans="1:97" s="1487" customFormat="1" ht="13.5" customHeight="1">
      <c r="A184" s="3237"/>
      <c r="B184" s="3251"/>
      <c r="C184" s="3251"/>
      <c r="D184" s="3287" t="s">
        <v>7372</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7160</v>
      </c>
      <c r="E185" s="3491"/>
      <c r="F185" s="3478"/>
      <c r="G185" s="3500"/>
      <c r="H185" s="4119"/>
      <c r="I185" s="3502"/>
      <c r="J185" s="2522"/>
    </row>
    <row r="186" spans="1:97" s="2560" customFormat="1" ht="81" customHeight="1">
      <c r="A186" s="3242"/>
      <c r="B186" s="3240"/>
      <c r="C186" s="3240"/>
      <c r="D186" s="3252" t="s">
        <v>10119</v>
      </c>
      <c r="E186" s="3240"/>
      <c r="F186" s="3253"/>
      <c r="G186" s="3238"/>
      <c r="H186" s="4098"/>
      <c r="I186" s="3502"/>
      <c r="J186" s="2522"/>
      <c r="K186" s="2563"/>
    </row>
    <row r="187" spans="1:97" s="3473" customFormat="1" ht="13.7" customHeight="1">
      <c r="A187" s="3237">
        <v>51</v>
      </c>
      <c r="B187" s="3250">
        <v>741</v>
      </c>
      <c r="C187" s="3463" t="s">
        <v>7331</v>
      </c>
      <c r="D187" s="3464" t="s">
        <v>7161</v>
      </c>
      <c r="E187" s="3464" t="s">
        <v>23</v>
      </c>
      <c r="F187" s="3080">
        <f>ROUND(SUM(F188),3)</f>
        <v>1</v>
      </c>
      <c r="G187" s="3283"/>
      <c r="H187" s="3942">
        <f>ROUND(F187*G187,2)</f>
        <v>0</v>
      </c>
      <c r="I187" s="3465" t="s">
        <v>60</v>
      </c>
    </row>
    <row r="188" spans="1:97" s="3473" customFormat="1" ht="13.7" customHeight="1">
      <c r="A188" s="3237"/>
      <c r="B188" s="3250"/>
      <c r="C188" s="3251"/>
      <c r="D188" s="3287" t="s">
        <v>7372</v>
      </c>
      <c r="E188" s="3501"/>
      <c r="F188" s="3475">
        <v>1</v>
      </c>
      <c r="G188" s="3500"/>
      <c r="H188" s="4119"/>
      <c r="I188" s="3462"/>
    </row>
    <row r="189" spans="1:97" s="3473" customFormat="1" ht="27" customHeight="1">
      <c r="A189" s="3237"/>
      <c r="B189" s="3250"/>
      <c r="C189" s="3251"/>
      <c r="D189" s="3503" t="s">
        <v>7162</v>
      </c>
      <c r="E189" s="3491"/>
      <c r="F189" s="3475"/>
      <c r="G189" s="3500"/>
      <c r="H189" s="4119"/>
      <c r="I189" s="3502"/>
      <c r="J189" s="3504"/>
    </row>
    <row r="190" spans="1:97" s="3508" customFormat="1" ht="13.5" customHeight="1">
      <c r="A190" s="3484">
        <v>52</v>
      </c>
      <c r="B190" s="3463">
        <v>741</v>
      </c>
      <c r="C190" s="3463">
        <v>998741201</v>
      </c>
      <c r="D190" s="3463" t="s">
        <v>7163</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7164</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7165</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7166</v>
      </c>
      <c r="E194" s="3233"/>
      <c r="F194" s="3234"/>
      <c r="G194" s="3255"/>
      <c r="H194" s="4197">
        <f>SUM(H195:H205)</f>
        <v>0</v>
      </c>
      <c r="I194" s="3256"/>
      <c r="J194" s="2476"/>
      <c r="K194" s="2477"/>
      <c r="L194" s="2477"/>
      <c r="M194" s="595"/>
    </row>
    <row r="195" spans="1:97" s="2479" customFormat="1" ht="13.5" customHeight="1">
      <c r="A195" s="3257">
        <v>54</v>
      </c>
      <c r="B195" s="3258">
        <v>790</v>
      </c>
      <c r="C195" s="3259" t="s">
        <v>7167</v>
      </c>
      <c r="D195" s="3258" t="s">
        <v>7376</v>
      </c>
      <c r="E195" s="3258" t="s">
        <v>155</v>
      </c>
      <c r="F195" s="3080">
        <f>ROUND(SUM(F196),3)</f>
        <v>4</v>
      </c>
      <c r="G195" s="3260"/>
      <c r="H195" s="3942">
        <f>ROUND(F195*G195,2)</f>
        <v>0</v>
      </c>
      <c r="I195" s="3256" t="s">
        <v>60</v>
      </c>
      <c r="J195" s="2478"/>
    </row>
    <row r="196" spans="1:97" s="595" customFormat="1" ht="13.5" customHeight="1">
      <c r="A196" s="3261"/>
      <c r="B196" s="3262"/>
      <c r="C196" s="3262"/>
      <c r="D196" s="3093" t="s">
        <v>7377</v>
      </c>
      <c r="E196" s="3262"/>
      <c r="F196" s="3226">
        <v>4</v>
      </c>
      <c r="G196" s="3263"/>
      <c r="H196" s="4198"/>
      <c r="I196" s="3236"/>
      <c r="J196" s="337"/>
      <c r="O196" s="2480"/>
      <c r="R196" s="2524"/>
    </row>
    <row r="197" spans="1:97" s="595" customFormat="1" ht="27" customHeight="1">
      <c r="A197" s="3261"/>
      <c r="B197" s="3262"/>
      <c r="C197" s="3262"/>
      <c r="D197" s="3093" t="s">
        <v>7378</v>
      </c>
      <c r="E197" s="3262"/>
      <c r="F197" s="3226"/>
      <c r="G197" s="3263"/>
      <c r="H197" s="4198"/>
      <c r="I197" s="3236"/>
      <c r="R197" s="2524"/>
    </row>
    <row r="198" spans="1:97" s="2479" customFormat="1" ht="13.5" customHeight="1">
      <c r="A198" s="3257">
        <v>55</v>
      </c>
      <c r="B198" s="3258">
        <v>790</v>
      </c>
      <c r="C198" s="3259" t="s">
        <v>7171</v>
      </c>
      <c r="D198" s="3258" t="s">
        <v>7379</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7380</v>
      </c>
      <c r="E199" s="3262"/>
      <c r="F199" s="3264"/>
      <c r="G199" s="3263"/>
      <c r="H199" s="4198"/>
      <c r="I199" s="3265"/>
      <c r="J199" s="337"/>
      <c r="M199" s="2482"/>
      <c r="O199" s="2480"/>
    </row>
    <row r="200" spans="1:97" s="595" customFormat="1" ht="13.5" customHeight="1">
      <c r="A200" s="3261"/>
      <c r="B200" s="3262"/>
      <c r="C200" s="3262"/>
      <c r="D200" s="3093" t="s">
        <v>7381</v>
      </c>
      <c r="E200" s="3262"/>
      <c r="F200" s="3226">
        <v>1</v>
      </c>
      <c r="G200" s="3263"/>
      <c r="H200" s="4198"/>
      <c r="I200" s="3265"/>
      <c r="J200" s="1224"/>
      <c r="O200" s="2480"/>
    </row>
    <row r="201" spans="1:97" s="595" customFormat="1" ht="27" customHeight="1">
      <c r="A201" s="3261"/>
      <c r="B201" s="3262"/>
      <c r="C201" s="3262"/>
      <c r="D201" s="3093" t="s">
        <v>7382</v>
      </c>
      <c r="E201" s="3262"/>
      <c r="F201" s="3226"/>
      <c r="G201" s="3263"/>
      <c r="H201" s="4198"/>
      <c r="I201" s="3265"/>
      <c r="J201" s="1224"/>
      <c r="L201" s="1224"/>
    </row>
    <row r="202" spans="1:97" s="3268" customFormat="1" ht="13.5" customHeight="1">
      <c r="A202" s="3257">
        <v>56</v>
      </c>
      <c r="B202" s="3259" t="s">
        <v>3028</v>
      </c>
      <c r="C202" s="3259" t="s">
        <v>7177</v>
      </c>
      <c r="D202" s="3259" t="s">
        <v>7178</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7179</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934" t="s">
        <v>99</v>
      </c>
      <c r="B208" s="5935"/>
      <c r="C208" s="5936"/>
      <c r="D208" s="1670" t="s">
        <v>10519</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814" t="s">
        <v>1</v>
      </c>
      <c r="B210" s="5933"/>
      <c r="C210" s="5933"/>
      <c r="D210" s="5933"/>
      <c r="E210" s="5933"/>
      <c r="F210" s="5933"/>
      <c r="G210" s="5933"/>
      <c r="H210" s="318"/>
      <c r="I210" s="318"/>
    </row>
    <row r="211" spans="1:9" s="460" customFormat="1" ht="27" customHeight="1">
      <c r="A211" s="5814" t="s">
        <v>308</v>
      </c>
      <c r="B211" s="5937"/>
      <c r="C211" s="5937"/>
      <c r="D211" s="5937"/>
      <c r="E211" s="5937"/>
      <c r="F211" s="5937"/>
      <c r="G211" s="5937"/>
      <c r="H211" s="48"/>
    </row>
    <row r="212" spans="1:9" s="48" customFormat="1" ht="102.75" customHeight="1">
      <c r="A212" s="5814" t="s">
        <v>26</v>
      </c>
      <c r="B212" s="5938"/>
      <c r="C212" s="5938"/>
      <c r="D212" s="5938"/>
      <c r="E212" s="5938"/>
      <c r="F212" s="5938"/>
      <c r="G212" s="5938"/>
    </row>
    <row r="213" spans="1:9" s="459" customFormat="1" ht="13.5" customHeight="1">
      <c r="A213" s="5814" t="s">
        <v>27</v>
      </c>
      <c r="B213" s="5933"/>
      <c r="C213" s="5933"/>
      <c r="D213" s="5933"/>
      <c r="E213" s="5933"/>
      <c r="F213" s="5933"/>
      <c r="G213" s="5933"/>
      <c r="H213" s="318"/>
      <c r="I213" s="318"/>
    </row>
    <row r="214" spans="1:9" s="459" customFormat="1" ht="13.5" customHeight="1">
      <c r="A214" s="5814" t="s">
        <v>28</v>
      </c>
      <c r="B214" s="5933"/>
      <c r="C214" s="5933"/>
      <c r="D214" s="5933"/>
      <c r="E214" s="5933"/>
      <c r="F214" s="5933"/>
      <c r="G214" s="5933"/>
      <c r="H214" s="318"/>
      <c r="I214" s="318"/>
    </row>
    <row r="215" spans="1:9" s="3276" customFormat="1" ht="40.5" customHeight="1">
      <c r="A215" s="5816" t="s">
        <v>61</v>
      </c>
      <c r="B215" s="5816"/>
      <c r="C215" s="5816"/>
      <c r="D215" s="5816"/>
      <c r="E215" s="5816"/>
      <c r="F215" s="5816"/>
      <c r="G215" s="5816"/>
      <c r="I215" s="3510"/>
    </row>
  </sheetData>
  <mergeCells count="11">
    <mergeCell ref="J117:N117"/>
    <mergeCell ref="A208:C208"/>
    <mergeCell ref="A210:G210"/>
    <mergeCell ref="A211:G211"/>
    <mergeCell ref="A212:G212"/>
    <mergeCell ref="G168:H168"/>
    <mergeCell ref="A213:G213"/>
    <mergeCell ref="A214:G214"/>
    <mergeCell ref="A215:G215"/>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topLeftCell="A91" zoomScaleNormal="100" workbookViewId="0">
      <selection activeCell="D111" sqref="D111"/>
    </sheetView>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894" t="s">
        <v>112</v>
      </c>
      <c r="B2" s="5907"/>
      <c r="C2" s="5907"/>
      <c r="D2" s="5907"/>
      <c r="E2" s="5907"/>
      <c r="F2" s="5907"/>
      <c r="G2" s="5907"/>
      <c r="H2" s="5907"/>
      <c r="I2" s="5907"/>
      <c r="J2" s="320"/>
    </row>
    <row r="3" spans="1:256" s="1015" customFormat="1" ht="13.5" customHeight="1">
      <c r="A3" s="5913" t="s">
        <v>125</v>
      </c>
      <c r="B3" s="5947"/>
      <c r="C3" s="5947"/>
      <c r="D3" s="5947"/>
      <c r="E3" s="1010"/>
      <c r="F3" s="1011"/>
      <c r="G3" s="1011"/>
      <c r="H3" s="1012"/>
      <c r="I3" s="1013"/>
      <c r="J3" s="1014"/>
      <c r="K3" s="1009"/>
      <c r="M3" s="1016"/>
    </row>
    <row r="4" spans="1:256" s="1015" customFormat="1" ht="13.5" customHeight="1">
      <c r="A4" s="5922" t="s">
        <v>2335</v>
      </c>
      <c r="B4" s="5947"/>
      <c r="C4" s="5947"/>
      <c r="D4" s="5947"/>
      <c r="E4" s="5922"/>
      <c r="F4" s="5947"/>
      <c r="G4" s="5947"/>
      <c r="H4" s="5947"/>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10491</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948" t="s">
        <v>99</v>
      </c>
      <c r="B213" s="5949"/>
      <c r="C213" s="5950"/>
      <c r="D213" s="1168" t="s">
        <v>10527</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814" t="s">
        <v>308</v>
      </c>
      <c r="B216" s="5951"/>
      <c r="C216" s="5951"/>
      <c r="D216" s="5951"/>
      <c r="E216" s="5951"/>
      <c r="F216" s="5951"/>
      <c r="G216" s="5951"/>
      <c r="H216" s="48"/>
    </row>
    <row r="217" spans="1:62" s="48" customFormat="1" ht="93.75" customHeight="1">
      <c r="A217" s="5814" t="s">
        <v>26</v>
      </c>
      <c r="B217" s="5938"/>
      <c r="C217" s="5938"/>
      <c r="D217" s="5938"/>
      <c r="E217" s="5938"/>
      <c r="F217" s="5938"/>
      <c r="G217" s="5938"/>
    </row>
    <row r="218" spans="1:62" s="1188" customFormat="1" ht="13.5" customHeight="1">
      <c r="A218" s="5814" t="s">
        <v>27</v>
      </c>
      <c r="B218" s="5946"/>
      <c r="C218" s="5946"/>
      <c r="D218" s="5946"/>
      <c r="E218" s="5946"/>
      <c r="F218" s="5946"/>
      <c r="G218" s="5946"/>
      <c r="H218" s="318"/>
      <c r="I218" s="318"/>
    </row>
    <row r="219" spans="1:62" s="1188" customFormat="1" ht="13.5" customHeight="1">
      <c r="A219" s="5814" t="s">
        <v>28</v>
      </c>
      <c r="B219" s="5946"/>
      <c r="C219" s="5946"/>
      <c r="D219" s="5946"/>
      <c r="E219" s="5946"/>
      <c r="F219" s="5946"/>
      <c r="G219" s="5946"/>
      <c r="H219" s="318"/>
      <c r="I219" s="318"/>
    </row>
    <row r="220" spans="1:62" ht="40.5" customHeight="1">
      <c r="A220" s="5816" t="s">
        <v>61</v>
      </c>
      <c r="B220" s="5816"/>
      <c r="C220" s="5816"/>
      <c r="D220" s="5816"/>
      <c r="E220" s="5816"/>
      <c r="F220" s="5816"/>
      <c r="G220" s="5816"/>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topLeftCell="A55" zoomScaleNormal="100" workbookViewId="0">
      <selection activeCell="D21" sqref="D21"/>
    </sheetView>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894" t="s">
        <v>112</v>
      </c>
      <c r="B2" s="5952"/>
      <c r="C2" s="5952"/>
      <c r="D2" s="5952"/>
      <c r="E2" s="5952"/>
      <c r="F2" s="5952"/>
      <c r="G2" s="5952"/>
      <c r="H2" s="5952"/>
      <c r="I2" s="5952"/>
      <c r="J2" s="320"/>
    </row>
    <row r="3" spans="1:13" s="660" customFormat="1" ht="13.5" customHeight="1">
      <c r="A3" s="5913" t="s">
        <v>125</v>
      </c>
      <c r="B3" s="5953"/>
      <c r="C3" s="5953"/>
      <c r="D3" s="5953"/>
      <c r="E3" s="78"/>
      <c r="F3" s="79"/>
      <c r="G3" s="79"/>
      <c r="H3" s="80"/>
      <c r="I3" s="658"/>
      <c r="J3" s="659"/>
      <c r="K3" s="81"/>
      <c r="M3" s="661"/>
    </row>
    <row r="4" spans="1:13" s="660" customFormat="1" ht="13.5" customHeight="1">
      <c r="A4" s="5922" t="s">
        <v>2232</v>
      </c>
      <c r="B4" s="5953"/>
      <c r="C4" s="5953"/>
      <c r="D4" s="5953"/>
      <c r="E4" s="5922"/>
      <c r="F4" s="5954"/>
      <c r="G4" s="5954"/>
      <c r="H4" s="5954"/>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10492</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955" t="s">
        <v>99</v>
      </c>
      <c r="B169" s="5956"/>
      <c r="C169" s="5957"/>
      <c r="D169" s="1244" t="s">
        <v>10528</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814" t="s">
        <v>308</v>
      </c>
      <c r="B172" s="5814"/>
      <c r="C172" s="5814"/>
      <c r="D172" s="5814"/>
      <c r="E172" s="5814"/>
      <c r="F172" s="5814"/>
      <c r="G172" s="5814"/>
      <c r="H172" s="48"/>
      <c r="I172" s="1205"/>
    </row>
    <row r="173" spans="1:12" ht="93.75" customHeight="1">
      <c r="A173" s="5814" t="s">
        <v>26</v>
      </c>
      <c r="B173" s="5814"/>
      <c r="C173" s="5814"/>
      <c r="D173" s="5814"/>
      <c r="E173" s="5814"/>
      <c r="F173" s="5814"/>
      <c r="G173" s="5814"/>
      <c r="H173" s="48"/>
      <c r="I173" s="48"/>
    </row>
    <row r="174" spans="1:12" ht="13.5" customHeight="1">
      <c r="A174" s="5814" t="s">
        <v>27</v>
      </c>
      <c r="B174" s="5814"/>
      <c r="C174" s="5814"/>
      <c r="D174" s="5814"/>
      <c r="E174" s="5814"/>
      <c r="F174" s="5814"/>
      <c r="G174" s="5814"/>
      <c r="H174" s="318"/>
      <c r="I174" s="318"/>
    </row>
    <row r="175" spans="1:12" ht="13.5" customHeight="1">
      <c r="A175" s="5814" t="s">
        <v>28</v>
      </c>
      <c r="B175" s="5814"/>
      <c r="C175" s="5814"/>
      <c r="D175" s="5814"/>
      <c r="E175" s="5814"/>
      <c r="F175" s="5814"/>
      <c r="G175" s="5814"/>
      <c r="H175" s="318"/>
      <c r="I175" s="318"/>
    </row>
    <row r="176" spans="1:12" s="88" customFormat="1" ht="40.5" customHeight="1">
      <c r="A176" s="5816" t="s">
        <v>61</v>
      </c>
      <c r="B176" s="5816"/>
      <c r="C176" s="5816"/>
      <c r="D176" s="5816"/>
      <c r="E176" s="5816"/>
      <c r="F176" s="5816"/>
      <c r="G176" s="5816"/>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894" t="s">
        <v>112</v>
      </c>
      <c r="B2" s="5907"/>
      <c r="C2" s="5907"/>
      <c r="D2" s="5907"/>
      <c r="E2" s="5907"/>
      <c r="F2" s="5907"/>
      <c r="G2" s="5907"/>
      <c r="H2" s="5907"/>
      <c r="I2" s="5907"/>
      <c r="J2" s="320"/>
    </row>
    <row r="3" spans="1:256" s="1015" customFormat="1" ht="13.5" customHeight="1">
      <c r="A3" s="5913" t="s">
        <v>125</v>
      </c>
      <c r="B3" s="5947"/>
      <c r="C3" s="5947"/>
      <c r="D3" s="5947"/>
      <c r="E3" s="1010"/>
      <c r="F3" s="1011"/>
      <c r="G3" s="1011"/>
      <c r="H3" s="1012"/>
      <c r="I3" s="1013"/>
      <c r="J3" s="1014"/>
      <c r="K3" s="1009"/>
      <c r="M3" s="1016"/>
    </row>
    <row r="4" spans="1:256" s="1015" customFormat="1" ht="13.5" customHeight="1">
      <c r="A4" s="5922" t="s">
        <v>2086</v>
      </c>
      <c r="B4" s="5947"/>
      <c r="C4" s="5947"/>
      <c r="D4" s="5947"/>
      <c r="E4" s="5922"/>
      <c r="F4" s="5947"/>
      <c r="G4" s="5947"/>
      <c r="H4" s="5947"/>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10491</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10120</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948" t="s">
        <v>99</v>
      </c>
      <c r="B240" s="5949"/>
      <c r="C240" s="5950"/>
      <c r="D240" s="1168" t="s">
        <v>10529</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814" t="s">
        <v>308</v>
      </c>
      <c r="B243" s="5951"/>
      <c r="C243" s="5951"/>
      <c r="D243" s="5951"/>
      <c r="E243" s="5951"/>
      <c r="F243" s="5951"/>
      <c r="G243" s="5951"/>
      <c r="H243" s="48"/>
    </row>
    <row r="244" spans="1:62" s="48" customFormat="1" ht="93.75" customHeight="1">
      <c r="A244" s="5814" t="s">
        <v>26</v>
      </c>
      <c r="B244" s="5938"/>
      <c r="C244" s="5938"/>
      <c r="D244" s="5938"/>
      <c r="E244" s="5938"/>
      <c r="F244" s="5938"/>
      <c r="G244" s="5938"/>
    </row>
    <row r="245" spans="1:62" s="1188" customFormat="1" ht="13.5" customHeight="1">
      <c r="A245" s="5814" t="s">
        <v>27</v>
      </c>
      <c r="B245" s="5946"/>
      <c r="C245" s="5946"/>
      <c r="D245" s="5946"/>
      <c r="E245" s="5946"/>
      <c r="F245" s="5946"/>
      <c r="G245" s="5946"/>
      <c r="H245" s="318"/>
      <c r="I245" s="318"/>
    </row>
    <row r="246" spans="1:62" s="1188" customFormat="1" ht="13.5" customHeight="1">
      <c r="A246" s="5814" t="s">
        <v>28</v>
      </c>
      <c r="B246" s="5946"/>
      <c r="C246" s="5946"/>
      <c r="D246" s="5946"/>
      <c r="E246" s="5946"/>
      <c r="F246" s="5946"/>
      <c r="G246" s="5946"/>
      <c r="H246" s="318"/>
      <c r="I246" s="318"/>
    </row>
    <row r="247" spans="1:62" ht="40.5" customHeight="1">
      <c r="A247" s="5816" t="s">
        <v>61</v>
      </c>
      <c r="B247" s="5816"/>
      <c r="C247" s="5816"/>
      <c r="D247" s="5816"/>
      <c r="E247" s="5816"/>
      <c r="F247" s="5816"/>
      <c r="G247" s="5816"/>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922" t="s">
        <v>112</v>
      </c>
      <c r="B2" s="5922"/>
      <c r="C2" s="5922"/>
      <c r="D2" s="82"/>
      <c r="E2" s="78"/>
      <c r="F2" s="78"/>
      <c r="G2" s="79"/>
      <c r="H2" s="79"/>
      <c r="I2" s="80"/>
    </row>
    <row r="3" spans="1:256" s="81" customFormat="1" ht="13.5" customHeight="1">
      <c r="A3" s="5922" t="s">
        <v>113</v>
      </c>
      <c r="B3" s="5922"/>
      <c r="C3" s="5922"/>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10491</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894" t="s">
        <v>112</v>
      </c>
      <c r="B2" s="5952"/>
      <c r="C2" s="5952"/>
      <c r="D2" s="5952"/>
      <c r="E2" s="5952"/>
      <c r="F2" s="5952"/>
      <c r="G2" s="5952"/>
      <c r="H2" s="5952"/>
      <c r="I2" s="5952"/>
      <c r="J2" s="320"/>
    </row>
    <row r="3" spans="1:255" s="660" customFormat="1" ht="13.5" customHeight="1">
      <c r="A3" s="5913" t="s">
        <v>125</v>
      </c>
      <c r="B3" s="5953"/>
      <c r="C3" s="5953"/>
      <c r="D3" s="5953"/>
      <c r="E3" s="78"/>
      <c r="F3" s="79"/>
      <c r="G3" s="79"/>
      <c r="H3" s="80"/>
      <c r="I3" s="658"/>
      <c r="J3" s="659"/>
      <c r="K3" s="81"/>
      <c r="M3" s="661"/>
    </row>
    <row r="4" spans="1:255" s="660" customFormat="1" ht="13.5" customHeight="1">
      <c r="A4" s="5922" t="s">
        <v>1082</v>
      </c>
      <c r="B4" s="5953"/>
      <c r="C4" s="5953"/>
      <c r="D4" s="5953"/>
      <c r="E4" s="5922"/>
      <c r="F4" s="5954"/>
      <c r="G4" s="5954"/>
      <c r="H4" s="5954"/>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10491</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959" t="s">
        <v>99</v>
      </c>
      <c r="B461" s="5960"/>
      <c r="C461" s="5961"/>
      <c r="D461" s="796" t="s">
        <v>10530</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814" t="s">
        <v>308</v>
      </c>
      <c r="B464" s="5962"/>
      <c r="C464" s="5962"/>
      <c r="D464" s="5962"/>
      <c r="E464" s="5962"/>
      <c r="F464" s="5962"/>
      <c r="G464" s="5962"/>
      <c r="H464" s="48"/>
    </row>
    <row r="465" spans="1:9" s="48" customFormat="1" ht="93.75" customHeight="1">
      <c r="A465" s="5814" t="s">
        <v>26</v>
      </c>
      <c r="B465" s="5938"/>
      <c r="C465" s="5938"/>
      <c r="D465" s="5938"/>
      <c r="E465" s="5938"/>
      <c r="F465" s="5938"/>
      <c r="G465" s="5938"/>
    </row>
    <row r="466" spans="1:9" s="808" customFormat="1" ht="13.5" customHeight="1">
      <c r="A466" s="5814" t="s">
        <v>27</v>
      </c>
      <c r="B466" s="5958"/>
      <c r="C466" s="5958"/>
      <c r="D466" s="5958"/>
      <c r="E466" s="5958"/>
      <c r="F466" s="5958"/>
      <c r="G466" s="5958"/>
      <c r="H466" s="318"/>
      <c r="I466" s="318"/>
    </row>
    <row r="467" spans="1:9" s="808" customFormat="1" ht="13.5" customHeight="1">
      <c r="A467" s="5814" t="s">
        <v>28</v>
      </c>
      <c r="B467" s="5958"/>
      <c r="C467" s="5958"/>
      <c r="D467" s="5958"/>
      <c r="E467" s="5958"/>
      <c r="F467" s="5958"/>
      <c r="G467" s="5958"/>
      <c r="H467" s="318"/>
      <c r="I467" s="318"/>
    </row>
    <row r="468" spans="1:9" s="88" customFormat="1" ht="40.5" customHeight="1">
      <c r="A468" s="5816" t="s">
        <v>61</v>
      </c>
      <c r="B468" s="5816"/>
      <c r="C468" s="5816"/>
      <c r="D468" s="5816"/>
      <c r="E468" s="5816"/>
      <c r="F468" s="5816"/>
      <c r="G468" s="5816"/>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894" t="s">
        <v>112</v>
      </c>
      <c r="B2" s="5952"/>
      <c r="C2" s="5952"/>
      <c r="D2" s="5952"/>
      <c r="E2" s="5952"/>
      <c r="F2" s="5952"/>
      <c r="G2" s="5952"/>
      <c r="H2" s="5952"/>
      <c r="I2" s="5952"/>
      <c r="J2" s="320"/>
    </row>
    <row r="3" spans="1:255" s="660" customFormat="1" ht="13.5" customHeight="1">
      <c r="A3" s="5913" t="s">
        <v>125</v>
      </c>
      <c r="B3" s="5953"/>
      <c r="C3" s="5953"/>
      <c r="D3" s="5953"/>
      <c r="E3" s="78"/>
      <c r="F3" s="79"/>
      <c r="G3" s="79"/>
      <c r="H3" s="80"/>
      <c r="I3" s="658"/>
      <c r="J3" s="659"/>
      <c r="K3" s="81"/>
      <c r="M3" s="661"/>
    </row>
    <row r="4" spans="1:255" s="660" customFormat="1" ht="13.5" customHeight="1">
      <c r="A4" s="5922" t="s">
        <v>1461</v>
      </c>
      <c r="B4" s="5953"/>
      <c r="C4" s="5953"/>
      <c r="D4" s="5953"/>
      <c r="E4" s="5922"/>
      <c r="F4" s="5954"/>
      <c r="G4" s="5954"/>
      <c r="H4" s="5954"/>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10491</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959" t="s">
        <v>99</v>
      </c>
      <c r="B502" s="5960"/>
      <c r="C502" s="5961"/>
      <c r="D502" s="796" t="s">
        <v>10531</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814" t="s">
        <v>308</v>
      </c>
      <c r="B505" s="5962"/>
      <c r="C505" s="5962"/>
      <c r="D505" s="5962"/>
      <c r="E505" s="5962"/>
      <c r="F505" s="5962"/>
      <c r="G505" s="5962"/>
      <c r="H505" s="48"/>
    </row>
    <row r="506" spans="1:10" s="48" customFormat="1" ht="93.75" customHeight="1">
      <c r="A506" s="5814" t="s">
        <v>26</v>
      </c>
      <c r="B506" s="5938"/>
      <c r="C506" s="5938"/>
      <c r="D506" s="5938"/>
      <c r="E506" s="5938"/>
      <c r="F506" s="5938"/>
      <c r="G506" s="5938"/>
    </row>
    <row r="507" spans="1:10" s="808" customFormat="1" ht="13.5" customHeight="1">
      <c r="A507" s="5814" t="s">
        <v>27</v>
      </c>
      <c r="B507" s="5958"/>
      <c r="C507" s="5958"/>
      <c r="D507" s="5958"/>
      <c r="E507" s="5958"/>
      <c r="F507" s="5958"/>
      <c r="G507" s="5958"/>
      <c r="H507" s="318"/>
      <c r="I507" s="318"/>
    </row>
    <row r="508" spans="1:10" s="808" customFormat="1" ht="13.5" customHeight="1">
      <c r="A508" s="5814" t="s">
        <v>28</v>
      </c>
      <c r="B508" s="5958"/>
      <c r="C508" s="5958"/>
      <c r="D508" s="5958"/>
      <c r="E508" s="5958"/>
      <c r="F508" s="5958"/>
      <c r="G508" s="5958"/>
      <c r="H508" s="318"/>
      <c r="I508" s="318"/>
    </row>
    <row r="509" spans="1:10" s="88" customFormat="1" ht="40.5" customHeight="1">
      <c r="A509" s="5816" t="s">
        <v>61</v>
      </c>
      <c r="B509" s="5816"/>
      <c r="C509" s="5816"/>
      <c r="D509" s="5816"/>
      <c r="E509" s="5816"/>
      <c r="F509" s="5816"/>
      <c r="G509" s="5816"/>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894" t="s">
        <v>112</v>
      </c>
      <c r="B2" s="5952"/>
      <c r="C2" s="5952"/>
      <c r="D2" s="5952"/>
      <c r="E2" s="5952"/>
      <c r="F2" s="5952"/>
      <c r="G2" s="5952"/>
      <c r="H2" s="5952"/>
      <c r="I2" s="5952"/>
      <c r="J2" s="320"/>
    </row>
    <row r="3" spans="1:255" s="660" customFormat="1" ht="13.5" customHeight="1">
      <c r="A3" s="5913" t="s">
        <v>125</v>
      </c>
      <c r="B3" s="5953"/>
      <c r="C3" s="5953"/>
      <c r="D3" s="5953"/>
      <c r="E3" s="78"/>
      <c r="F3" s="79"/>
      <c r="G3" s="79"/>
      <c r="H3" s="80"/>
      <c r="I3" s="658"/>
      <c r="J3" s="659"/>
      <c r="K3" s="81"/>
      <c r="M3" s="661"/>
    </row>
    <row r="4" spans="1:255" s="660" customFormat="1" ht="13.5" customHeight="1">
      <c r="A4" s="5922" t="s">
        <v>1796</v>
      </c>
      <c r="B4" s="5953"/>
      <c r="C4" s="5953"/>
      <c r="D4" s="5953"/>
      <c r="E4" s="5922"/>
      <c r="F4" s="5954"/>
      <c r="G4" s="5954"/>
      <c r="H4" s="5954"/>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7253</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963" t="s">
        <v>99</v>
      </c>
      <c r="B153" s="5964"/>
      <c r="C153" s="5965"/>
      <c r="D153" s="972" t="s">
        <v>10532</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814" t="s">
        <v>308</v>
      </c>
      <c r="B156" s="5814"/>
      <c r="C156" s="5814"/>
      <c r="D156" s="5814"/>
      <c r="E156" s="5814"/>
      <c r="F156" s="5814"/>
      <c r="G156" s="5814"/>
      <c r="H156" s="48"/>
      <c r="I156" s="863"/>
    </row>
    <row r="157" spans="1:23" ht="93.75" customHeight="1">
      <c r="A157" s="5814" t="s">
        <v>26</v>
      </c>
      <c r="B157" s="5814"/>
      <c r="C157" s="5814"/>
      <c r="D157" s="5814"/>
      <c r="E157" s="5814"/>
      <c r="F157" s="5814"/>
      <c r="G157" s="5814"/>
      <c r="H157" s="48"/>
      <c r="I157" s="48"/>
    </row>
    <row r="158" spans="1:23" ht="13.5" customHeight="1">
      <c r="A158" s="5814" t="s">
        <v>27</v>
      </c>
      <c r="B158" s="5814"/>
      <c r="C158" s="5814"/>
      <c r="D158" s="5814"/>
      <c r="E158" s="5814"/>
      <c r="F158" s="5814"/>
      <c r="G158" s="5814"/>
      <c r="H158" s="318"/>
      <c r="I158" s="318"/>
    </row>
    <row r="159" spans="1:23" ht="13.5" customHeight="1">
      <c r="A159" s="5814" t="s">
        <v>28</v>
      </c>
      <c r="B159" s="5814"/>
      <c r="C159" s="5814"/>
      <c r="D159" s="5814"/>
      <c r="E159" s="5814"/>
      <c r="F159" s="5814"/>
      <c r="G159" s="5814"/>
      <c r="H159" s="318"/>
      <c r="I159" s="318"/>
    </row>
    <row r="160" spans="1:23" s="88" customFormat="1" ht="40.5" customHeight="1">
      <c r="A160" s="5816" t="s">
        <v>61</v>
      </c>
      <c r="B160" s="5816"/>
      <c r="C160" s="5816"/>
      <c r="D160" s="5816"/>
      <c r="E160" s="5816"/>
      <c r="F160" s="5816"/>
      <c r="G160" s="5816"/>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894" t="s">
        <v>112</v>
      </c>
      <c r="B2" s="5952"/>
      <c r="C2" s="5952"/>
      <c r="D2" s="5952"/>
      <c r="E2" s="5952"/>
      <c r="F2" s="5952"/>
      <c r="G2" s="5952"/>
      <c r="H2" s="5952"/>
      <c r="I2" s="5952"/>
      <c r="J2" s="320"/>
    </row>
    <row r="3" spans="1:255" s="660" customFormat="1" ht="13.5" customHeight="1">
      <c r="A3" s="5913" t="s">
        <v>125</v>
      </c>
      <c r="B3" s="5953"/>
      <c r="C3" s="5953"/>
      <c r="D3" s="5953"/>
      <c r="E3" s="78"/>
      <c r="F3" s="79"/>
      <c r="G3" s="79"/>
      <c r="H3" s="80"/>
      <c r="I3" s="658"/>
      <c r="J3" s="659"/>
      <c r="K3" s="81"/>
      <c r="M3" s="661"/>
    </row>
    <row r="4" spans="1:255" s="660" customFormat="1" ht="13.5" customHeight="1">
      <c r="A4" s="5922" t="s">
        <v>1906</v>
      </c>
      <c r="B4" s="5953"/>
      <c r="C4" s="5953"/>
      <c r="D4" s="5953"/>
      <c r="E4" s="5922"/>
      <c r="F4" s="5954"/>
      <c r="G4" s="5954"/>
      <c r="H4" s="5954"/>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963" t="s">
        <v>99</v>
      </c>
      <c r="B157" s="5964"/>
      <c r="C157" s="5965"/>
      <c r="D157" s="972" t="s">
        <v>10533</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814" t="s">
        <v>308</v>
      </c>
      <c r="B160" s="5814"/>
      <c r="C160" s="5814"/>
      <c r="D160" s="5814"/>
      <c r="E160" s="5814"/>
      <c r="F160" s="5814"/>
      <c r="G160" s="5814"/>
      <c r="H160" s="48"/>
      <c r="I160" s="863"/>
    </row>
    <row r="161" spans="1:9" ht="93.75" customHeight="1">
      <c r="A161" s="5814" t="s">
        <v>26</v>
      </c>
      <c r="B161" s="5814"/>
      <c r="C161" s="5814"/>
      <c r="D161" s="5814"/>
      <c r="E161" s="5814"/>
      <c r="F161" s="5814"/>
      <c r="G161" s="5814"/>
      <c r="H161" s="48"/>
      <c r="I161" s="48"/>
    </row>
    <row r="162" spans="1:9" ht="13.5" customHeight="1">
      <c r="A162" s="5814" t="s">
        <v>27</v>
      </c>
      <c r="B162" s="5814"/>
      <c r="C162" s="5814"/>
      <c r="D162" s="5814"/>
      <c r="E162" s="5814"/>
      <c r="F162" s="5814"/>
      <c r="G162" s="5814"/>
      <c r="H162" s="318"/>
      <c r="I162" s="318"/>
    </row>
    <row r="163" spans="1:9" ht="13.5" customHeight="1">
      <c r="A163" s="5814" t="s">
        <v>28</v>
      </c>
      <c r="B163" s="5814"/>
      <c r="C163" s="5814"/>
      <c r="D163" s="5814"/>
      <c r="E163" s="5814"/>
      <c r="F163" s="5814"/>
      <c r="G163" s="5814"/>
      <c r="H163" s="318"/>
      <c r="I163" s="318"/>
    </row>
    <row r="164" spans="1:9" s="88" customFormat="1" ht="40.5" customHeight="1">
      <c r="A164" s="5816" t="s">
        <v>61</v>
      </c>
      <c r="B164" s="5816"/>
      <c r="C164" s="5816"/>
      <c r="D164" s="5816"/>
      <c r="E164" s="5816"/>
      <c r="F164" s="5816"/>
      <c r="G164" s="581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894" t="s">
        <v>112</v>
      </c>
      <c r="B2" s="5952"/>
      <c r="C2" s="5952"/>
      <c r="D2" s="5952"/>
      <c r="E2" s="5952"/>
      <c r="F2" s="5952"/>
      <c r="G2" s="5952"/>
      <c r="H2" s="5952"/>
      <c r="I2" s="5952"/>
      <c r="J2" s="320"/>
    </row>
    <row r="3" spans="1:255" s="660" customFormat="1" ht="13.5" customHeight="1">
      <c r="A3" s="5913" t="s">
        <v>125</v>
      </c>
      <c r="B3" s="5953"/>
      <c r="C3" s="5953"/>
      <c r="D3" s="5953"/>
      <c r="E3" s="78"/>
      <c r="F3" s="79"/>
      <c r="G3" s="79"/>
      <c r="H3" s="80"/>
      <c r="I3" s="658"/>
      <c r="J3" s="659"/>
      <c r="K3" s="81"/>
      <c r="M3" s="661"/>
    </row>
    <row r="4" spans="1:255" s="660" customFormat="1" ht="13.5" customHeight="1">
      <c r="A4" s="5922" t="s">
        <v>1994</v>
      </c>
      <c r="B4" s="5953"/>
      <c r="C4" s="5953"/>
      <c r="D4" s="5953"/>
      <c r="E4" s="5922"/>
      <c r="F4" s="5954"/>
      <c r="G4" s="5954"/>
      <c r="H4" s="5954"/>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963" t="s">
        <v>99</v>
      </c>
      <c r="B157" s="5964"/>
      <c r="C157" s="5965"/>
      <c r="D157" s="972" t="s">
        <v>10534</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814" t="s">
        <v>308</v>
      </c>
      <c r="B160" s="5814"/>
      <c r="C160" s="5814"/>
      <c r="D160" s="5814"/>
      <c r="E160" s="5814"/>
      <c r="F160" s="5814"/>
      <c r="G160" s="5814"/>
      <c r="H160" s="48"/>
      <c r="I160" s="863"/>
    </row>
    <row r="161" spans="1:9" ht="93.75" customHeight="1">
      <c r="A161" s="5814" t="s">
        <v>26</v>
      </c>
      <c r="B161" s="5814"/>
      <c r="C161" s="5814"/>
      <c r="D161" s="5814"/>
      <c r="E161" s="5814"/>
      <c r="F161" s="5814"/>
      <c r="G161" s="5814"/>
      <c r="H161" s="48"/>
      <c r="I161" s="48"/>
    </row>
    <row r="162" spans="1:9" ht="13.5" customHeight="1">
      <c r="A162" s="5814" t="s">
        <v>27</v>
      </c>
      <c r="B162" s="5814"/>
      <c r="C162" s="5814"/>
      <c r="D162" s="5814"/>
      <c r="E162" s="5814"/>
      <c r="F162" s="5814"/>
      <c r="G162" s="5814"/>
      <c r="H162" s="318"/>
      <c r="I162" s="318"/>
    </row>
    <row r="163" spans="1:9" ht="13.5" customHeight="1">
      <c r="A163" s="5814" t="s">
        <v>28</v>
      </c>
      <c r="B163" s="5814"/>
      <c r="C163" s="5814"/>
      <c r="D163" s="5814"/>
      <c r="E163" s="5814"/>
      <c r="F163" s="5814"/>
      <c r="G163" s="5814"/>
      <c r="H163" s="318"/>
      <c r="I163" s="318"/>
    </row>
    <row r="164" spans="1:9" s="88" customFormat="1" ht="40.5" customHeight="1">
      <c r="A164" s="5816" t="s">
        <v>61</v>
      </c>
      <c r="B164" s="5816"/>
      <c r="C164" s="5816"/>
      <c r="D164" s="5816"/>
      <c r="E164" s="5816"/>
      <c r="F164" s="5816"/>
      <c r="G164" s="581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966" t="s">
        <v>112</v>
      </c>
      <c r="B2" s="5967"/>
      <c r="C2" s="5967"/>
      <c r="D2" s="5967"/>
      <c r="E2" s="5967"/>
      <c r="F2" s="5967"/>
      <c r="G2" s="5967"/>
      <c r="H2" s="5967"/>
      <c r="I2" s="5967"/>
    </row>
    <row r="3" spans="1:121" s="187" customFormat="1" ht="13.5" customHeight="1">
      <c r="A3" s="5913" t="s">
        <v>125</v>
      </c>
      <c r="B3" s="5953"/>
      <c r="C3" s="5953"/>
      <c r="D3" s="5953"/>
      <c r="E3" s="85"/>
      <c r="F3" s="86"/>
      <c r="G3" s="86"/>
      <c r="H3" s="87"/>
      <c r="I3" s="483"/>
      <c r="J3" s="225"/>
      <c r="K3" s="484"/>
      <c r="M3" s="5514"/>
    </row>
    <row r="4" spans="1:121" s="485" customFormat="1" ht="13.5" customHeight="1">
      <c r="A4" s="5966" t="s">
        <v>846</v>
      </c>
      <c r="B4" s="5968"/>
      <c r="C4" s="5968"/>
      <c r="D4" s="5968"/>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10491</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11582</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11583</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11581</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11584</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969" t="s">
        <v>99</v>
      </c>
      <c r="B208" s="5970"/>
      <c r="C208" s="5971"/>
      <c r="D208" s="627" t="s">
        <v>10535</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923" t="s">
        <v>308</v>
      </c>
      <c r="B211" s="5923"/>
      <c r="C211" s="5923"/>
      <c r="D211" s="5923"/>
      <c r="E211" s="5923"/>
      <c r="F211" s="5923"/>
      <c r="G211" s="5923"/>
      <c r="H211" s="639"/>
      <c r="I211" s="106"/>
    </row>
    <row r="212" spans="1:9" ht="93.75" customHeight="1">
      <c r="A212" s="5923" t="s">
        <v>26</v>
      </c>
      <c r="B212" s="5923"/>
      <c r="C212" s="5923"/>
      <c r="D212" s="5923"/>
      <c r="E212" s="5923"/>
      <c r="F212" s="5923"/>
      <c r="G212" s="5923"/>
      <c r="H212" s="639"/>
      <c r="I212" s="639"/>
    </row>
    <row r="213" spans="1:9" ht="13.5" customHeight="1">
      <c r="A213" s="5923" t="s">
        <v>27</v>
      </c>
      <c r="B213" s="5923"/>
      <c r="C213" s="5923"/>
      <c r="D213" s="5923"/>
      <c r="E213" s="5923"/>
      <c r="F213" s="5923"/>
      <c r="G213" s="5923"/>
      <c r="H213" s="640"/>
      <c r="I213" s="640"/>
    </row>
    <row r="214" spans="1:9" ht="13.5" customHeight="1">
      <c r="A214" s="5923" t="s">
        <v>28</v>
      </c>
      <c r="B214" s="5923"/>
      <c r="C214" s="5923"/>
      <c r="D214" s="5923"/>
      <c r="E214" s="5923"/>
      <c r="F214" s="5923"/>
      <c r="G214" s="5923"/>
      <c r="H214" s="640"/>
      <c r="I214" s="640"/>
    </row>
    <row r="215" spans="1:9" s="88" customFormat="1" ht="40.5" customHeight="1">
      <c r="A215" s="5816" t="s">
        <v>61</v>
      </c>
      <c r="B215" s="5816"/>
      <c r="C215" s="5816"/>
      <c r="D215" s="5816"/>
      <c r="E215" s="5816"/>
      <c r="F215" s="5816"/>
      <c r="G215" s="5816"/>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894" t="s">
        <v>112</v>
      </c>
      <c r="B2" s="5895"/>
      <c r="C2" s="5895"/>
      <c r="D2" s="5895"/>
      <c r="E2" s="5895"/>
      <c r="F2" s="5895"/>
      <c r="G2" s="5895"/>
      <c r="H2" s="5895"/>
      <c r="I2" s="5895"/>
    </row>
    <row r="3" spans="1:19" ht="13.5" customHeight="1">
      <c r="A3" s="5913" t="s">
        <v>125</v>
      </c>
      <c r="B3" s="5953"/>
      <c r="C3" s="5953"/>
      <c r="D3" s="5953"/>
      <c r="E3" s="85"/>
      <c r="F3" s="86"/>
      <c r="G3" s="86"/>
      <c r="H3" s="87"/>
      <c r="I3" s="87"/>
    </row>
    <row r="4" spans="1:19" s="107" customFormat="1" ht="13.5" customHeight="1">
      <c r="A4" s="5922" t="s">
        <v>744</v>
      </c>
      <c r="B4" s="5953"/>
      <c r="C4" s="5953"/>
      <c r="D4" s="5953"/>
      <c r="E4" s="5922"/>
      <c r="F4" s="5953"/>
      <c r="G4" s="5953"/>
      <c r="H4" s="5953"/>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10491</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972" t="s">
        <v>11555</v>
      </c>
      <c r="H26" s="5973"/>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11660</v>
      </c>
      <c r="B31" s="5581" t="s">
        <v>147</v>
      </c>
      <c r="C31" s="5581">
        <v>35441073</v>
      </c>
      <c r="D31" s="5581" t="s">
        <v>11664</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11663</v>
      </c>
      <c r="E33" s="5581"/>
      <c r="F33" s="5587">
        <f>((2.5)*0.62)*1.05</f>
        <v>1.6275000000000002</v>
      </c>
      <c r="G33" s="5583"/>
      <c r="H33" s="5588"/>
      <c r="I33" s="5585"/>
      <c r="J33" s="144"/>
    </row>
    <row r="34" spans="1:27" s="145" customFormat="1" ht="13.5" customHeight="1">
      <c r="A34" s="5580"/>
      <c r="B34" s="5581"/>
      <c r="C34" s="5581"/>
      <c r="D34" s="5586" t="s">
        <v>11662</v>
      </c>
      <c r="E34" s="5581"/>
      <c r="F34" s="5587">
        <f>((2.5)*0.62)*1.05</f>
        <v>1.6275000000000002</v>
      </c>
      <c r="G34" s="5583"/>
      <c r="H34" s="5588"/>
      <c r="I34" s="5585"/>
      <c r="J34" s="144"/>
    </row>
    <row r="35" spans="1:27" s="145" customFormat="1" ht="13.5" customHeight="1">
      <c r="A35" s="5580"/>
      <c r="B35" s="5581"/>
      <c r="C35" s="5581"/>
      <c r="D35" s="5586" t="s">
        <v>11661</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896" t="s">
        <v>99</v>
      </c>
      <c r="B214" s="5897"/>
      <c r="C214" s="5898"/>
      <c r="D214" s="306" t="s">
        <v>10536</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814" t="s">
        <v>308</v>
      </c>
      <c r="B217" s="5814"/>
      <c r="C217" s="5814"/>
      <c r="D217" s="5814"/>
      <c r="E217" s="5814"/>
      <c r="F217" s="5814"/>
      <c r="G217" s="5814"/>
      <c r="H217" s="48"/>
      <c r="I217" s="87"/>
    </row>
    <row r="218" spans="1:23" ht="93.75" customHeight="1">
      <c r="A218" s="5814" t="s">
        <v>26</v>
      </c>
      <c r="B218" s="5814"/>
      <c r="C218" s="5814"/>
      <c r="D218" s="5814"/>
      <c r="E218" s="5814"/>
      <c r="F218" s="5814"/>
      <c r="G218" s="5814"/>
      <c r="H218" s="48"/>
      <c r="I218" s="48"/>
    </row>
    <row r="219" spans="1:23" ht="13.5" customHeight="1">
      <c r="A219" s="5814" t="s">
        <v>27</v>
      </c>
      <c r="B219" s="5814"/>
      <c r="C219" s="5814"/>
      <c r="D219" s="5814"/>
      <c r="E219" s="5814"/>
      <c r="F219" s="5814"/>
      <c r="G219" s="5814"/>
      <c r="H219" s="318"/>
      <c r="I219" s="318"/>
    </row>
    <row r="220" spans="1:23" ht="13.5" customHeight="1">
      <c r="A220" s="5814" t="s">
        <v>28</v>
      </c>
      <c r="B220" s="5814"/>
      <c r="C220" s="5814"/>
      <c r="D220" s="5814"/>
      <c r="E220" s="5814"/>
      <c r="F220" s="5814"/>
      <c r="G220" s="5814"/>
      <c r="H220" s="318"/>
      <c r="I220" s="318"/>
    </row>
    <row r="221" spans="1:23" ht="40.5" customHeight="1">
      <c r="A221" s="5816" t="s">
        <v>61</v>
      </c>
      <c r="B221" s="5816"/>
      <c r="C221" s="5816"/>
      <c r="D221" s="5816"/>
      <c r="E221" s="5816"/>
      <c r="F221" s="5816"/>
      <c r="G221" s="5816"/>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894" t="s">
        <v>112</v>
      </c>
      <c r="B2" s="5895"/>
      <c r="C2" s="5895"/>
      <c r="D2" s="5895"/>
      <c r="E2" s="5895"/>
      <c r="F2" s="5895"/>
      <c r="G2" s="5895"/>
      <c r="H2" s="5895"/>
      <c r="I2" s="5895"/>
    </row>
    <row r="3" spans="1:25" ht="13.5" customHeight="1">
      <c r="A3" s="5913" t="s">
        <v>125</v>
      </c>
      <c r="B3" s="5953"/>
      <c r="C3" s="5953"/>
      <c r="D3" s="5953"/>
      <c r="E3" s="85"/>
      <c r="F3" s="86"/>
      <c r="G3" s="86"/>
      <c r="H3" s="87"/>
      <c r="I3" s="87"/>
    </row>
    <row r="4" spans="1:25" s="107" customFormat="1" ht="13.5" customHeight="1">
      <c r="A4" s="5922" t="s">
        <v>596</v>
      </c>
      <c r="B4" s="5953"/>
      <c r="C4" s="5953"/>
      <c r="D4" s="5953"/>
      <c r="E4" s="5922"/>
      <c r="F4" s="5953"/>
      <c r="G4" s="5953"/>
      <c r="H4" s="5953"/>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10491</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896" t="s">
        <v>99</v>
      </c>
      <c r="B200" s="5897"/>
      <c r="C200" s="5898"/>
      <c r="D200" s="306" t="s">
        <v>10537</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814" t="s">
        <v>308</v>
      </c>
      <c r="B203" s="5814"/>
      <c r="C203" s="5814"/>
      <c r="D203" s="5814"/>
      <c r="E203" s="5814"/>
      <c r="F203" s="5814"/>
      <c r="G203" s="5814"/>
      <c r="H203" s="48"/>
      <c r="I203" s="87"/>
    </row>
    <row r="204" spans="1:23" ht="93.75" customHeight="1">
      <c r="A204" s="5814" t="s">
        <v>26</v>
      </c>
      <c r="B204" s="5814"/>
      <c r="C204" s="5814"/>
      <c r="D204" s="5814"/>
      <c r="E204" s="5814"/>
      <c r="F204" s="5814"/>
      <c r="G204" s="5814"/>
      <c r="H204" s="48"/>
      <c r="I204" s="48"/>
    </row>
    <row r="205" spans="1:23" ht="13.5" customHeight="1">
      <c r="A205" s="5814" t="s">
        <v>27</v>
      </c>
      <c r="B205" s="5814"/>
      <c r="C205" s="5814"/>
      <c r="D205" s="5814"/>
      <c r="E205" s="5814"/>
      <c r="F205" s="5814"/>
      <c r="G205" s="5814"/>
      <c r="H205" s="318"/>
      <c r="I205" s="318"/>
    </row>
    <row r="206" spans="1:23" ht="13.5" customHeight="1">
      <c r="A206" s="5814" t="s">
        <v>28</v>
      </c>
      <c r="B206" s="5814"/>
      <c r="C206" s="5814"/>
      <c r="D206" s="5814"/>
      <c r="E206" s="5814"/>
      <c r="F206" s="5814"/>
      <c r="G206" s="5814"/>
      <c r="H206" s="318"/>
      <c r="I206" s="318"/>
    </row>
    <row r="207" spans="1:23" ht="40.5" customHeight="1">
      <c r="A207" s="5816" t="s">
        <v>61</v>
      </c>
      <c r="B207" s="5816"/>
      <c r="C207" s="5816"/>
      <c r="D207" s="5816"/>
      <c r="E207" s="5816"/>
      <c r="F207" s="5816"/>
      <c r="G207" s="5816"/>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894" t="s">
        <v>112</v>
      </c>
      <c r="B2" s="5895"/>
      <c r="C2" s="5895"/>
      <c r="D2" s="5895"/>
      <c r="E2" s="5895"/>
      <c r="F2" s="5895"/>
      <c r="G2" s="5895"/>
      <c r="H2" s="5895"/>
      <c r="I2" s="5895"/>
    </row>
    <row r="3" spans="1:23" ht="13.5" customHeight="1">
      <c r="A3" s="5913" t="s">
        <v>125</v>
      </c>
      <c r="B3" s="5953"/>
      <c r="C3" s="5953"/>
      <c r="D3" s="5953"/>
      <c r="E3" s="85"/>
      <c r="F3" s="86"/>
      <c r="G3" s="86"/>
      <c r="H3" s="87"/>
      <c r="I3" s="87"/>
    </row>
    <row r="4" spans="1:23" s="107" customFormat="1" ht="13.5" customHeight="1">
      <c r="A4" s="5922" t="s">
        <v>547</v>
      </c>
      <c r="B4" s="5953"/>
      <c r="C4" s="5953"/>
      <c r="D4" s="5953"/>
      <c r="E4" s="5922"/>
      <c r="F4" s="5953"/>
      <c r="G4" s="5953"/>
      <c r="H4" s="5953"/>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896" t="s">
        <v>99</v>
      </c>
      <c r="B128" s="5897"/>
      <c r="C128" s="5898"/>
      <c r="D128" s="306" t="s">
        <v>10520</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814" t="s">
        <v>308</v>
      </c>
      <c r="B131" s="5814"/>
      <c r="C131" s="5814"/>
      <c r="D131" s="5814"/>
      <c r="E131" s="5814"/>
      <c r="F131" s="5814"/>
      <c r="G131" s="5814"/>
      <c r="H131" s="48"/>
      <c r="I131" s="87"/>
    </row>
    <row r="132" spans="1:9" ht="93.75" customHeight="1">
      <c r="A132" s="5814" t="s">
        <v>26</v>
      </c>
      <c r="B132" s="5814"/>
      <c r="C132" s="5814"/>
      <c r="D132" s="5814"/>
      <c r="E132" s="5814"/>
      <c r="F132" s="5814"/>
      <c r="G132" s="5814"/>
      <c r="H132" s="48"/>
      <c r="I132" s="48"/>
    </row>
    <row r="133" spans="1:9" ht="13.5" customHeight="1">
      <c r="A133" s="5814" t="s">
        <v>27</v>
      </c>
      <c r="B133" s="5814"/>
      <c r="C133" s="5814"/>
      <c r="D133" s="5814"/>
      <c r="E133" s="5814"/>
      <c r="F133" s="5814"/>
      <c r="G133" s="5814"/>
      <c r="H133" s="318"/>
      <c r="I133" s="318"/>
    </row>
    <row r="134" spans="1:9" ht="13.5" customHeight="1">
      <c r="A134" s="5814" t="s">
        <v>28</v>
      </c>
      <c r="B134" s="5814"/>
      <c r="C134" s="5814"/>
      <c r="D134" s="5814"/>
      <c r="E134" s="5814"/>
      <c r="F134" s="5814"/>
      <c r="G134" s="5814"/>
      <c r="H134" s="318"/>
      <c r="I134" s="318"/>
    </row>
    <row r="135" spans="1:9" ht="40.5" customHeight="1">
      <c r="A135" s="5816" t="s">
        <v>61</v>
      </c>
      <c r="B135" s="5816"/>
      <c r="C135" s="5816"/>
      <c r="D135" s="5816"/>
      <c r="E135" s="5816"/>
      <c r="F135" s="5816"/>
      <c r="G135" s="5816"/>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966" t="s">
        <v>112</v>
      </c>
      <c r="B2" s="5966"/>
      <c r="C2" s="5966"/>
      <c r="D2" s="77"/>
      <c r="E2" s="78"/>
      <c r="F2" s="78"/>
      <c r="G2" s="79"/>
      <c r="H2" s="79"/>
      <c r="I2" s="80"/>
      <c r="M2" s="75"/>
    </row>
    <row r="3" spans="1:256" s="81" customFormat="1" ht="13.5" customHeight="1">
      <c r="A3" s="5966" t="s">
        <v>113</v>
      </c>
      <c r="B3" s="5966"/>
      <c r="C3" s="5966"/>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894" t="s">
        <v>112</v>
      </c>
      <c r="B2" s="5895"/>
      <c r="C2" s="5895"/>
      <c r="D2" s="5895"/>
      <c r="E2" s="5895"/>
      <c r="F2" s="5895"/>
      <c r="G2" s="5895"/>
      <c r="H2" s="5895"/>
      <c r="I2" s="5895"/>
    </row>
    <row r="3" spans="1:19" ht="13.5" customHeight="1">
      <c r="A3" s="5913" t="s">
        <v>125</v>
      </c>
      <c r="B3" s="5953"/>
      <c r="C3" s="5953"/>
      <c r="D3" s="5953"/>
      <c r="E3" s="85"/>
      <c r="F3" s="86"/>
      <c r="G3" s="86"/>
      <c r="H3" s="87"/>
      <c r="I3" s="87"/>
    </row>
    <row r="4" spans="1:19" s="107" customFormat="1" ht="13.5" customHeight="1">
      <c r="A4" s="5922" t="s">
        <v>126</v>
      </c>
      <c r="B4" s="5953"/>
      <c r="C4" s="5953"/>
      <c r="D4" s="5953"/>
      <c r="E4" s="5922"/>
      <c r="F4" s="5953"/>
      <c r="G4" s="5953"/>
      <c r="H4" s="5953"/>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896" t="s">
        <v>99</v>
      </c>
      <c r="B170" s="5897"/>
      <c r="C170" s="5898"/>
      <c r="D170" s="306" t="s">
        <v>10521</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814" t="s">
        <v>308</v>
      </c>
      <c r="B173" s="5814"/>
      <c r="C173" s="5814"/>
      <c r="D173" s="5814"/>
      <c r="E173" s="5814"/>
      <c r="F173" s="5814"/>
      <c r="G173" s="5814"/>
      <c r="H173" s="48"/>
      <c r="I173" s="87"/>
    </row>
    <row r="174" spans="1:256" ht="93.75" customHeight="1">
      <c r="A174" s="5814" t="s">
        <v>26</v>
      </c>
      <c r="B174" s="5814"/>
      <c r="C174" s="5814"/>
      <c r="D174" s="5814"/>
      <c r="E174" s="5814"/>
      <c r="F174" s="5814"/>
      <c r="G174" s="5814"/>
      <c r="H174" s="48"/>
      <c r="I174" s="48"/>
    </row>
    <row r="175" spans="1:256" ht="13.5" customHeight="1">
      <c r="A175" s="5814" t="s">
        <v>27</v>
      </c>
      <c r="B175" s="5814"/>
      <c r="C175" s="5814"/>
      <c r="D175" s="5814"/>
      <c r="E175" s="5814"/>
      <c r="F175" s="5814"/>
      <c r="G175" s="5814"/>
      <c r="H175" s="318"/>
      <c r="I175" s="318"/>
    </row>
    <row r="176" spans="1:256" ht="13.5" customHeight="1">
      <c r="A176" s="5814" t="s">
        <v>28</v>
      </c>
      <c r="B176" s="5814"/>
      <c r="C176" s="5814"/>
      <c r="D176" s="5814"/>
      <c r="E176" s="5814"/>
      <c r="F176" s="5814"/>
      <c r="G176" s="5814"/>
      <c r="H176" s="318"/>
      <c r="I176" s="318"/>
    </row>
    <row r="177" spans="1:9" ht="40.5" customHeight="1">
      <c r="A177" s="5816" t="s">
        <v>61</v>
      </c>
      <c r="B177" s="5816"/>
      <c r="C177" s="5816"/>
      <c r="D177" s="5816"/>
      <c r="E177" s="5816"/>
      <c r="F177" s="5816"/>
      <c r="G177" s="5816"/>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894" t="s">
        <v>112</v>
      </c>
      <c r="B2" s="5895"/>
      <c r="C2" s="5895"/>
      <c r="D2" s="5895"/>
      <c r="E2" s="5895"/>
      <c r="F2" s="5895"/>
      <c r="G2" s="5895"/>
      <c r="H2" s="5895"/>
      <c r="I2" s="5895"/>
    </row>
    <row r="3" spans="1:256" ht="13.5" customHeight="1">
      <c r="A3" s="5913" t="s">
        <v>125</v>
      </c>
      <c r="B3" s="5953"/>
      <c r="C3" s="5953"/>
      <c r="D3" s="5953"/>
      <c r="E3" s="85"/>
      <c r="F3" s="86"/>
      <c r="G3" s="86"/>
      <c r="H3" s="87"/>
      <c r="I3" s="87"/>
    </row>
    <row r="4" spans="1:256" s="107" customFormat="1" ht="13.5" customHeight="1">
      <c r="A4" s="5922" t="s">
        <v>309</v>
      </c>
      <c r="B4" s="5953"/>
      <c r="C4" s="5953"/>
      <c r="D4" s="5953"/>
      <c r="E4" s="5922"/>
      <c r="F4" s="5953"/>
      <c r="G4" s="5953"/>
      <c r="H4" s="5953"/>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974" t="s">
        <v>321</v>
      </c>
      <c r="H37" s="5975"/>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974" t="s">
        <v>321</v>
      </c>
      <c r="H67" s="5975"/>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974" t="s">
        <v>321</v>
      </c>
      <c r="H87" s="5975"/>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974" t="s">
        <v>321</v>
      </c>
      <c r="H91" s="5975"/>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974" t="s">
        <v>321</v>
      </c>
      <c r="H121" s="5975"/>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974" t="s">
        <v>321</v>
      </c>
      <c r="H125" s="5975"/>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974" t="s">
        <v>321</v>
      </c>
      <c r="H139" s="5975"/>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976" t="s">
        <v>357</v>
      </c>
      <c r="G151" s="5977"/>
      <c r="H151" s="5978"/>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896" t="s">
        <v>99</v>
      </c>
      <c r="B199" s="5897"/>
      <c r="C199" s="5898"/>
      <c r="D199" s="306" t="s">
        <v>10522</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814" t="s">
        <v>308</v>
      </c>
      <c r="B202" s="5814"/>
      <c r="C202" s="5814"/>
      <c r="D202" s="5814"/>
      <c r="E202" s="5814"/>
      <c r="F202" s="5814"/>
      <c r="G202" s="5814"/>
      <c r="H202" s="48"/>
      <c r="I202" s="87"/>
    </row>
    <row r="203" spans="1:23" ht="93.75" customHeight="1">
      <c r="A203" s="5814" t="s">
        <v>26</v>
      </c>
      <c r="B203" s="5814"/>
      <c r="C203" s="5814"/>
      <c r="D203" s="5814"/>
      <c r="E203" s="5814"/>
      <c r="F203" s="5814"/>
      <c r="G203" s="5814"/>
      <c r="H203" s="48"/>
      <c r="I203" s="48"/>
    </row>
    <row r="204" spans="1:23" ht="13.5" customHeight="1">
      <c r="A204" s="5814" t="s">
        <v>27</v>
      </c>
      <c r="B204" s="5814"/>
      <c r="C204" s="5814"/>
      <c r="D204" s="5814"/>
      <c r="E204" s="5814"/>
      <c r="F204" s="5814"/>
      <c r="G204" s="5814"/>
      <c r="H204" s="318"/>
      <c r="I204" s="318"/>
    </row>
    <row r="205" spans="1:23" ht="13.5" customHeight="1">
      <c r="A205" s="5814" t="s">
        <v>28</v>
      </c>
      <c r="B205" s="5814"/>
      <c r="C205" s="5814"/>
      <c r="D205" s="5814"/>
      <c r="E205" s="5814"/>
      <c r="F205" s="5814"/>
      <c r="G205" s="5814"/>
      <c r="H205" s="318"/>
      <c r="I205" s="318"/>
    </row>
    <row r="206" spans="1:23" ht="40.5" customHeight="1">
      <c r="A206" s="5816" t="s">
        <v>61</v>
      </c>
      <c r="B206" s="5816"/>
      <c r="C206" s="5816"/>
      <c r="D206" s="5816"/>
      <c r="E206" s="5816"/>
      <c r="F206" s="5816"/>
      <c r="G206" s="5816"/>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894" t="s">
        <v>112</v>
      </c>
      <c r="B2" s="5895"/>
      <c r="C2" s="5895"/>
      <c r="D2" s="5895"/>
      <c r="E2" s="5895"/>
      <c r="F2" s="5895"/>
      <c r="G2" s="5895"/>
      <c r="H2" s="5895"/>
      <c r="I2" s="5895"/>
    </row>
    <row r="3" spans="1:256" ht="13.5" customHeight="1">
      <c r="A3" s="5913" t="s">
        <v>125</v>
      </c>
      <c r="B3" s="5953"/>
      <c r="C3" s="5953"/>
      <c r="D3" s="5953"/>
      <c r="E3" s="85"/>
      <c r="F3" s="86"/>
      <c r="G3" s="86"/>
      <c r="H3" s="87"/>
      <c r="I3" s="87"/>
    </row>
    <row r="4" spans="1:256" s="107" customFormat="1" ht="13.5" customHeight="1">
      <c r="A4" s="5922" t="s">
        <v>380</v>
      </c>
      <c r="B4" s="5953"/>
      <c r="C4" s="5953"/>
      <c r="D4" s="5953"/>
      <c r="E4" s="5922"/>
      <c r="F4" s="5953"/>
      <c r="G4" s="5953"/>
      <c r="H4" s="5953"/>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10540</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974" t="s">
        <v>321</v>
      </c>
      <c r="H35" s="5975"/>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974" t="s">
        <v>394</v>
      </c>
      <c r="H61" s="5975"/>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974" t="s">
        <v>321</v>
      </c>
      <c r="H65" s="5975"/>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974" t="s">
        <v>394</v>
      </c>
      <c r="H77" s="5975"/>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974" t="s">
        <v>394</v>
      </c>
      <c r="H81" s="5975"/>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974" t="s">
        <v>321</v>
      </c>
      <c r="H85" s="5975"/>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974" t="s">
        <v>321</v>
      </c>
      <c r="H89" s="5975"/>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974" t="s">
        <v>394</v>
      </c>
      <c r="H111" s="5975"/>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974" t="s">
        <v>394</v>
      </c>
      <c r="H115" s="5975"/>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974" t="s">
        <v>321</v>
      </c>
      <c r="H119" s="5975"/>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974" t="s">
        <v>321</v>
      </c>
      <c r="H123" s="5975"/>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974" t="s">
        <v>394</v>
      </c>
      <c r="H132" s="5975"/>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974" t="s">
        <v>321</v>
      </c>
      <c r="H137" s="5975"/>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896" t="s">
        <v>99</v>
      </c>
      <c r="B193" s="5897"/>
      <c r="C193" s="5898"/>
      <c r="D193" s="306" t="s">
        <v>10523</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814" t="s">
        <v>308</v>
      </c>
      <c r="B196" s="5814"/>
      <c r="C196" s="5814"/>
      <c r="D196" s="5814"/>
      <c r="E196" s="5814"/>
      <c r="F196" s="5814"/>
      <c r="G196" s="5814"/>
      <c r="H196" s="48"/>
      <c r="I196" s="87"/>
    </row>
    <row r="197" spans="1:9" ht="93.75" customHeight="1">
      <c r="A197" s="5814" t="s">
        <v>26</v>
      </c>
      <c r="B197" s="5814"/>
      <c r="C197" s="5814"/>
      <c r="D197" s="5814"/>
      <c r="E197" s="5814"/>
      <c r="F197" s="5814"/>
      <c r="G197" s="5814"/>
      <c r="H197" s="48"/>
      <c r="I197" s="48"/>
    </row>
    <row r="198" spans="1:9" ht="13.5" customHeight="1">
      <c r="A198" s="5814" t="s">
        <v>27</v>
      </c>
      <c r="B198" s="5814"/>
      <c r="C198" s="5814"/>
      <c r="D198" s="5814"/>
      <c r="E198" s="5814"/>
      <c r="F198" s="5814"/>
      <c r="G198" s="5814"/>
      <c r="H198" s="318"/>
      <c r="I198" s="318"/>
    </row>
    <row r="199" spans="1:9" ht="13.5" customHeight="1">
      <c r="A199" s="5814" t="s">
        <v>28</v>
      </c>
      <c r="B199" s="5814"/>
      <c r="C199" s="5814"/>
      <c r="D199" s="5814"/>
      <c r="E199" s="5814"/>
      <c r="F199" s="5814"/>
      <c r="G199" s="5814"/>
      <c r="H199" s="318"/>
      <c r="I199" s="318"/>
    </row>
    <row r="200" spans="1:9" ht="40.5" customHeight="1">
      <c r="A200" s="5816" t="s">
        <v>61</v>
      </c>
      <c r="B200" s="5816"/>
      <c r="C200" s="5816"/>
      <c r="D200" s="5816"/>
      <c r="E200" s="5816"/>
      <c r="F200" s="5816"/>
      <c r="G200" s="5816"/>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894" t="s">
        <v>112</v>
      </c>
      <c r="B2" s="5895"/>
      <c r="C2" s="5895"/>
      <c r="D2" s="5895"/>
      <c r="E2" s="5895"/>
      <c r="F2" s="5895"/>
      <c r="G2" s="5895"/>
      <c r="H2" s="5895"/>
      <c r="I2" s="5895"/>
    </row>
    <row r="3" spans="1:23" ht="13.5" customHeight="1">
      <c r="A3" s="5913" t="s">
        <v>125</v>
      </c>
      <c r="B3" s="5953"/>
      <c r="C3" s="5953"/>
      <c r="D3" s="5953"/>
      <c r="E3" s="85"/>
      <c r="F3" s="86"/>
      <c r="G3" s="86"/>
      <c r="H3" s="87"/>
      <c r="I3" s="87"/>
    </row>
    <row r="4" spans="1:23" s="107" customFormat="1" ht="13.5" customHeight="1">
      <c r="A4" s="5922" t="s">
        <v>424</v>
      </c>
      <c r="B4" s="5953"/>
      <c r="C4" s="5953"/>
      <c r="D4" s="5953"/>
      <c r="E4" s="5922"/>
      <c r="F4" s="5953"/>
      <c r="G4" s="5953"/>
      <c r="H4" s="5953"/>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896" t="s">
        <v>99</v>
      </c>
      <c r="B122" s="5897"/>
      <c r="C122" s="5898"/>
      <c r="D122" s="306" t="s">
        <v>10524</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814" t="s">
        <v>308</v>
      </c>
      <c r="B125" s="5814"/>
      <c r="C125" s="5814"/>
      <c r="D125" s="5814"/>
      <c r="E125" s="5814"/>
      <c r="F125" s="5814"/>
      <c r="G125" s="5814"/>
      <c r="H125" s="48"/>
      <c r="I125" s="87"/>
    </row>
    <row r="126" spans="1:256" ht="93.75" customHeight="1">
      <c r="A126" s="5814" t="s">
        <v>26</v>
      </c>
      <c r="B126" s="5814"/>
      <c r="C126" s="5814"/>
      <c r="D126" s="5814"/>
      <c r="E126" s="5814"/>
      <c r="F126" s="5814"/>
      <c r="G126" s="5814"/>
      <c r="H126" s="48"/>
      <c r="I126" s="48"/>
    </row>
    <row r="127" spans="1:256" ht="13.5" customHeight="1">
      <c r="A127" s="5814" t="s">
        <v>27</v>
      </c>
      <c r="B127" s="5814"/>
      <c r="C127" s="5814"/>
      <c r="D127" s="5814"/>
      <c r="E127" s="5814"/>
      <c r="F127" s="5814"/>
      <c r="G127" s="5814"/>
      <c r="H127" s="318"/>
      <c r="I127" s="318"/>
    </row>
    <row r="128" spans="1:256" ht="13.5" customHeight="1">
      <c r="A128" s="5814" t="s">
        <v>28</v>
      </c>
      <c r="B128" s="5814"/>
      <c r="C128" s="5814"/>
      <c r="D128" s="5814"/>
      <c r="E128" s="5814"/>
      <c r="F128" s="5814"/>
      <c r="G128" s="5814"/>
      <c r="H128" s="318"/>
      <c r="I128" s="318"/>
    </row>
    <row r="129" spans="1:9" ht="40.5" customHeight="1">
      <c r="A129" s="5816" t="s">
        <v>61</v>
      </c>
      <c r="B129" s="5816"/>
      <c r="C129" s="5816"/>
      <c r="D129" s="5816"/>
      <c r="E129" s="5816"/>
      <c r="F129" s="5816"/>
      <c r="G129" s="581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894" t="s">
        <v>112</v>
      </c>
      <c r="B2" s="5895"/>
      <c r="C2" s="5895"/>
      <c r="D2" s="5895"/>
      <c r="E2" s="5895"/>
      <c r="F2" s="5895"/>
      <c r="G2" s="5895"/>
      <c r="H2" s="5895"/>
      <c r="I2" s="5895"/>
    </row>
    <row r="3" spans="1:23" ht="13.5" customHeight="1">
      <c r="A3" s="5913" t="s">
        <v>125</v>
      </c>
      <c r="B3" s="5953"/>
      <c r="C3" s="5953"/>
      <c r="D3" s="5953"/>
      <c r="E3" s="85"/>
      <c r="F3" s="86"/>
      <c r="G3" s="86"/>
      <c r="H3" s="87"/>
      <c r="I3" s="87"/>
    </row>
    <row r="4" spans="1:23" s="107" customFormat="1" ht="13.5" customHeight="1">
      <c r="A4" s="5922" t="s">
        <v>470</v>
      </c>
      <c r="B4" s="5953"/>
      <c r="C4" s="5953"/>
      <c r="D4" s="5953"/>
      <c r="E4" s="5922"/>
      <c r="F4" s="5953"/>
      <c r="G4" s="5953"/>
      <c r="H4" s="5953"/>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896" t="s">
        <v>99</v>
      </c>
      <c r="B122" s="5897"/>
      <c r="C122" s="5898"/>
      <c r="D122" s="306" t="s">
        <v>10525</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814" t="s">
        <v>308</v>
      </c>
      <c r="B125" s="5814"/>
      <c r="C125" s="5814"/>
      <c r="D125" s="5814"/>
      <c r="E125" s="5814"/>
      <c r="F125" s="5814"/>
      <c r="G125" s="5814"/>
      <c r="H125" s="48"/>
      <c r="I125" s="87"/>
    </row>
    <row r="126" spans="1:256" ht="93.75" customHeight="1">
      <c r="A126" s="5814" t="s">
        <v>26</v>
      </c>
      <c r="B126" s="5814"/>
      <c r="C126" s="5814"/>
      <c r="D126" s="5814"/>
      <c r="E126" s="5814"/>
      <c r="F126" s="5814"/>
      <c r="G126" s="5814"/>
      <c r="H126" s="48"/>
      <c r="I126" s="48"/>
    </row>
    <row r="127" spans="1:256" ht="13.5" customHeight="1">
      <c r="A127" s="5814" t="s">
        <v>27</v>
      </c>
      <c r="B127" s="5814"/>
      <c r="C127" s="5814"/>
      <c r="D127" s="5814"/>
      <c r="E127" s="5814"/>
      <c r="F127" s="5814"/>
      <c r="G127" s="5814"/>
      <c r="H127" s="318"/>
      <c r="I127" s="318"/>
    </row>
    <row r="128" spans="1:256" ht="13.5" customHeight="1">
      <c r="A128" s="5814" t="s">
        <v>28</v>
      </c>
      <c r="B128" s="5814"/>
      <c r="C128" s="5814"/>
      <c r="D128" s="5814"/>
      <c r="E128" s="5814"/>
      <c r="F128" s="5814"/>
      <c r="G128" s="5814"/>
      <c r="H128" s="318"/>
      <c r="I128" s="318"/>
    </row>
    <row r="129" spans="1:9" ht="40.5" customHeight="1">
      <c r="A129" s="5816" t="s">
        <v>61</v>
      </c>
      <c r="B129" s="5816"/>
      <c r="C129" s="5816"/>
      <c r="D129" s="5816"/>
      <c r="E129" s="5816"/>
      <c r="F129" s="5816"/>
      <c r="G129" s="581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894" t="s">
        <v>112</v>
      </c>
      <c r="B2" s="5895"/>
      <c r="C2" s="5895"/>
      <c r="D2" s="5895"/>
      <c r="E2" s="5895"/>
      <c r="F2" s="5895"/>
      <c r="G2" s="5895"/>
      <c r="H2" s="5895"/>
      <c r="I2" s="5895"/>
    </row>
    <row r="3" spans="1:23" ht="13.5" customHeight="1">
      <c r="A3" s="5913" t="s">
        <v>125</v>
      </c>
      <c r="B3" s="5953"/>
      <c r="C3" s="5953"/>
      <c r="D3" s="5953"/>
      <c r="E3" s="85"/>
      <c r="F3" s="86"/>
      <c r="G3" s="86"/>
      <c r="H3" s="87"/>
      <c r="I3" s="87"/>
    </row>
    <row r="4" spans="1:23" s="107" customFormat="1" ht="13.5" customHeight="1">
      <c r="A4" s="5922" t="s">
        <v>499</v>
      </c>
      <c r="B4" s="5953"/>
      <c r="C4" s="5953"/>
      <c r="D4" s="5953"/>
      <c r="E4" s="5922"/>
      <c r="F4" s="5953"/>
      <c r="G4" s="5953"/>
      <c r="H4" s="5953"/>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896" t="s">
        <v>99</v>
      </c>
      <c r="B135" s="5897"/>
      <c r="C135" s="5898"/>
      <c r="D135" s="306" t="s">
        <v>10526</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814" t="s">
        <v>308</v>
      </c>
      <c r="B138" s="5814"/>
      <c r="C138" s="5814"/>
      <c r="D138" s="5814"/>
      <c r="E138" s="5814"/>
      <c r="F138" s="5814"/>
      <c r="G138" s="5814"/>
      <c r="H138" s="48"/>
      <c r="I138" s="87"/>
    </row>
    <row r="139" spans="1:23" ht="93.75" customHeight="1">
      <c r="A139" s="5814" t="s">
        <v>26</v>
      </c>
      <c r="B139" s="5814"/>
      <c r="C139" s="5814"/>
      <c r="D139" s="5814"/>
      <c r="E139" s="5814"/>
      <c r="F139" s="5814"/>
      <c r="G139" s="5814"/>
      <c r="H139" s="48"/>
      <c r="I139" s="48"/>
    </row>
    <row r="140" spans="1:23" ht="13.5" customHeight="1">
      <c r="A140" s="5814" t="s">
        <v>27</v>
      </c>
      <c r="B140" s="5814"/>
      <c r="C140" s="5814"/>
      <c r="D140" s="5814"/>
      <c r="E140" s="5814"/>
      <c r="F140" s="5814"/>
      <c r="G140" s="5814"/>
      <c r="H140" s="318"/>
      <c r="I140" s="318"/>
    </row>
    <row r="141" spans="1:23" ht="13.5" customHeight="1">
      <c r="A141" s="5814" t="s">
        <v>28</v>
      </c>
      <c r="B141" s="5814"/>
      <c r="C141" s="5814"/>
      <c r="D141" s="5814"/>
      <c r="E141" s="5814"/>
      <c r="F141" s="5814"/>
      <c r="G141" s="5814"/>
      <c r="H141" s="318"/>
      <c r="I141" s="318"/>
    </row>
    <row r="142" spans="1:23" ht="40.5" customHeight="1">
      <c r="A142" s="5816" t="s">
        <v>61</v>
      </c>
      <c r="B142" s="5816"/>
      <c r="C142" s="5816"/>
      <c r="D142" s="5816"/>
      <c r="E142" s="5816"/>
      <c r="F142" s="5816"/>
      <c r="G142" s="5816"/>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980" t="s">
        <v>63</v>
      </c>
      <c r="C1" s="5981"/>
      <c r="D1" s="5981"/>
      <c r="E1" s="5981"/>
      <c r="F1" s="5982"/>
    </row>
    <row r="2" spans="2:6" ht="6" customHeight="1">
      <c r="B2" s="56"/>
      <c r="C2" s="57"/>
      <c r="D2" s="57"/>
      <c r="E2" s="57"/>
      <c r="F2" s="57"/>
    </row>
    <row r="3" spans="2:6" ht="362.25" customHeight="1">
      <c r="B3" s="58" t="s">
        <v>64</v>
      </c>
      <c r="C3" s="5983" t="s">
        <v>65</v>
      </c>
      <c r="D3" s="5984"/>
      <c r="E3" s="5984"/>
      <c r="F3" s="5985"/>
    </row>
    <row r="4" spans="2:6" ht="15" customHeight="1"/>
    <row r="5" spans="2:6" ht="20.45" customHeight="1">
      <c r="B5" s="60" t="s">
        <v>66</v>
      </c>
      <c r="C5" s="60" t="s">
        <v>67</v>
      </c>
      <c r="D5" s="60" t="s">
        <v>68</v>
      </c>
      <c r="E5" s="60" t="s">
        <v>69</v>
      </c>
      <c r="F5" s="60" t="s">
        <v>70</v>
      </c>
    </row>
    <row r="6" spans="2:6" ht="60">
      <c r="B6" s="5986" t="s">
        <v>83</v>
      </c>
      <c r="C6" s="61" t="s">
        <v>71</v>
      </c>
      <c r="D6" s="62" t="s">
        <v>72</v>
      </c>
      <c r="E6" s="63">
        <v>12</v>
      </c>
      <c r="F6" s="5987"/>
    </row>
    <row r="7" spans="2:6" ht="50.1" customHeight="1">
      <c r="B7" s="5986"/>
      <c r="C7" s="62" t="s">
        <v>73</v>
      </c>
      <c r="D7" s="62" t="s">
        <v>74</v>
      </c>
      <c r="E7" s="63">
        <v>12</v>
      </c>
      <c r="F7" s="5988"/>
    </row>
    <row r="8" spans="2:6" ht="60">
      <c r="B8" s="5986"/>
      <c r="C8" s="61" t="s">
        <v>75</v>
      </c>
      <c r="D8" s="62" t="s">
        <v>76</v>
      </c>
      <c r="E8" s="63">
        <v>12</v>
      </c>
      <c r="F8" s="5988"/>
    </row>
    <row r="9" spans="2:6" s="64" customFormat="1" ht="60">
      <c r="B9" s="5986"/>
      <c r="C9" s="61" t="s">
        <v>77</v>
      </c>
      <c r="D9" s="62" t="s">
        <v>78</v>
      </c>
      <c r="E9" s="63">
        <v>2</v>
      </c>
      <c r="F9" s="5988"/>
    </row>
    <row r="10" spans="2:6" ht="50.1" customHeight="1">
      <c r="B10" s="5986"/>
      <c r="C10" s="62" t="s">
        <v>79</v>
      </c>
      <c r="D10" s="62" t="s">
        <v>80</v>
      </c>
      <c r="E10" s="63">
        <v>2</v>
      </c>
      <c r="F10" s="5988"/>
    </row>
    <row r="11" spans="2:6" ht="60">
      <c r="B11" s="5986"/>
      <c r="C11" s="61" t="s">
        <v>81</v>
      </c>
      <c r="D11" s="62" t="s">
        <v>82</v>
      </c>
      <c r="E11" s="63">
        <v>2</v>
      </c>
      <c r="F11" s="5988"/>
    </row>
    <row r="12" spans="2:6" ht="60">
      <c r="B12" s="5986" t="s">
        <v>84</v>
      </c>
      <c r="C12" s="61" t="s">
        <v>71</v>
      </c>
      <c r="D12" s="62" t="s">
        <v>72</v>
      </c>
      <c r="E12" s="63">
        <v>10</v>
      </c>
      <c r="F12" s="5987"/>
    </row>
    <row r="13" spans="2:6" ht="50.1" customHeight="1">
      <c r="B13" s="5986"/>
      <c r="C13" s="62" t="s">
        <v>73</v>
      </c>
      <c r="D13" s="62" t="s">
        <v>74</v>
      </c>
      <c r="E13" s="63">
        <v>10</v>
      </c>
      <c r="F13" s="5988"/>
    </row>
    <row r="14" spans="2:6" ht="60">
      <c r="B14" s="5986"/>
      <c r="C14" s="61" t="s">
        <v>75</v>
      </c>
      <c r="D14" s="62" t="s">
        <v>76</v>
      </c>
      <c r="E14" s="63">
        <v>10</v>
      </c>
      <c r="F14" s="5988"/>
    </row>
    <row r="15" spans="2:6" ht="60">
      <c r="B15" s="5986"/>
      <c r="C15" s="61" t="s">
        <v>85</v>
      </c>
      <c r="D15" s="62" t="s">
        <v>86</v>
      </c>
      <c r="E15" s="63">
        <v>1</v>
      </c>
      <c r="F15" s="5988"/>
    </row>
    <row r="16" spans="2:6" ht="50.1" customHeight="1">
      <c r="B16" s="5986"/>
      <c r="C16" s="62" t="s">
        <v>87</v>
      </c>
      <c r="D16" s="62" t="s">
        <v>88</v>
      </c>
      <c r="E16" s="63">
        <v>1</v>
      </c>
      <c r="F16" s="5988"/>
    </row>
    <row r="17" spans="2:10" ht="60">
      <c r="B17" s="5986"/>
      <c r="C17" s="61" t="s">
        <v>89</v>
      </c>
      <c r="D17" s="62" t="s">
        <v>90</v>
      </c>
      <c r="E17" s="63">
        <v>1</v>
      </c>
      <c r="F17" s="5988"/>
    </row>
    <row r="18" spans="2:10" s="64" customFormat="1" ht="60">
      <c r="B18" s="5986"/>
      <c r="C18" s="61" t="s">
        <v>77</v>
      </c>
      <c r="D18" s="62" t="s">
        <v>91</v>
      </c>
      <c r="E18" s="63">
        <v>2</v>
      </c>
      <c r="F18" s="5988"/>
      <c r="J18" s="4633"/>
    </row>
    <row r="19" spans="2:10" ht="45">
      <c r="B19" s="5986"/>
      <c r="C19" s="62" t="s">
        <v>79</v>
      </c>
      <c r="D19" s="62" t="s">
        <v>80</v>
      </c>
      <c r="E19" s="63">
        <v>2</v>
      </c>
      <c r="F19" s="5988"/>
    </row>
    <row r="20" spans="2:10" ht="60">
      <c r="B20" s="5986"/>
      <c r="C20" s="61" t="s">
        <v>81</v>
      </c>
      <c r="D20" s="62" t="s">
        <v>82</v>
      </c>
      <c r="E20" s="63">
        <v>2</v>
      </c>
      <c r="F20" s="5988"/>
    </row>
    <row r="21" spans="2:10" ht="35.1" customHeight="1">
      <c r="B21" s="5989"/>
      <c r="C21" s="5992" t="s">
        <v>92</v>
      </c>
      <c r="D21" s="59" t="s">
        <v>93</v>
      </c>
      <c r="E21" s="63">
        <v>5</v>
      </c>
      <c r="F21" s="5987"/>
    </row>
    <row r="22" spans="2:10" ht="35.1" customHeight="1">
      <c r="B22" s="5990"/>
      <c r="C22" s="5993"/>
      <c r="D22" s="62" t="s">
        <v>94</v>
      </c>
      <c r="E22" s="63">
        <v>0</v>
      </c>
      <c r="F22" s="5988"/>
      <c r="G22" s="4634"/>
    </row>
    <row r="23" spans="2:10" ht="20.100000000000001" customHeight="1">
      <c r="B23" s="5990"/>
      <c r="C23" s="5993"/>
      <c r="D23" s="59" t="s">
        <v>95</v>
      </c>
      <c r="E23" s="63">
        <v>0</v>
      </c>
      <c r="F23" s="5988"/>
      <c r="G23" s="4634"/>
    </row>
    <row r="24" spans="2:10" ht="20.100000000000001" customHeight="1">
      <c r="B24" s="5990"/>
      <c r="C24" s="5993"/>
      <c r="D24" s="59" t="s">
        <v>96</v>
      </c>
      <c r="E24" s="63">
        <v>10</v>
      </c>
      <c r="F24" s="5988"/>
    </row>
    <row r="25" spans="2:10" ht="20.100000000000001" customHeight="1">
      <c r="B25" s="5990"/>
      <c r="C25" s="5993"/>
      <c r="D25" s="59" t="s">
        <v>97</v>
      </c>
      <c r="E25" s="63">
        <v>7</v>
      </c>
      <c r="F25" s="5988"/>
    </row>
    <row r="26" spans="2:10" ht="20.100000000000001" customHeight="1">
      <c r="B26" s="5991"/>
      <c r="C26" s="5994"/>
      <c r="D26" s="62" t="s">
        <v>98</v>
      </c>
      <c r="E26" s="63">
        <v>1</v>
      </c>
      <c r="F26" s="5995"/>
    </row>
    <row r="27" spans="2:10" ht="15.75">
      <c r="B27" s="65"/>
      <c r="C27" s="66"/>
      <c r="D27" s="66"/>
      <c r="E27" s="67" t="s">
        <v>99</v>
      </c>
      <c r="F27" s="3891">
        <f>SUM(F6:F25)</f>
        <v>0</v>
      </c>
    </row>
    <row r="28" spans="2:10" ht="20.100000000000001" customHeight="1">
      <c r="B28" s="5979" t="s">
        <v>100</v>
      </c>
      <c r="C28" s="5979"/>
      <c r="D28" s="5979"/>
      <c r="E28" s="5979"/>
      <c r="F28" s="5979"/>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51</vt:i4>
      </vt:variant>
      <vt:variant>
        <vt:lpstr>Pojmenované oblasti</vt:lpstr>
      </vt:variant>
      <vt:variant>
        <vt:i4>78</vt:i4>
      </vt:variant>
    </vt:vector>
  </HeadingPairs>
  <TitlesOfParts>
    <vt:vector size="12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2023-12-11T16:03:16Z</dcterms:modified>
</cp:coreProperties>
</file>